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zsC0Heu0GoGax6sseNwS5wLTv+YWbgGxV4vPtTzJHRDltHVfpJhReJB20RAcko4gAtrkTh46+2RfSVL43vaetg==" workbookSaltValue="CycSkX7Gt11wlkKA49DD5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L19" i="8"/>
  <c r="BM19" i="8"/>
  <c r="BK19" i="8"/>
  <c r="EP19" i="8"/>
  <c r="AL13" i="16"/>
  <c r="AJ13" i="16"/>
  <c r="S13" i="16"/>
  <c r="H18" i="16"/>
  <c r="BN18" i="16"/>
  <c r="P13" i="16"/>
  <c r="AM13" i="20"/>
  <c r="AN13" i="20"/>
  <c r="AT17" i="20"/>
  <c r="Z13" i="17"/>
  <c r="M13" i="2"/>
  <c r="T13" i="12"/>
  <c r="T13" i="20"/>
  <c r="T13" i="16"/>
  <c r="AP13" i="16"/>
  <c r="T18" i="17"/>
  <c r="BG15" i="13"/>
  <c r="G18" i="14"/>
  <c r="AO20" i="20"/>
  <c r="AN20" i="20"/>
  <c r="H20" i="20"/>
  <c r="AM20" i="20"/>
  <c r="E20" i="20"/>
  <c r="I20" i="20"/>
  <c r="K20" i="20"/>
  <c r="P20" i="20"/>
  <c r="N20" i="20"/>
  <c r="AQ20" i="20"/>
  <c r="U12" i="11"/>
  <c r="W20" i="20"/>
  <c r="AK20" i="20"/>
  <c r="L20" i="20"/>
  <c r="AQ20" i="21"/>
  <c r="U16" i="11"/>
  <c r="AH20" i="20"/>
  <c r="AI20" i="20"/>
  <c r="AF20" i="20"/>
  <c r="AX20" i="20"/>
  <c r="AZ20" i="20"/>
  <c r="AG20" i="20"/>
  <c r="AC20" i="20"/>
  <c r="Q20" i="20"/>
  <c r="U10" i="11"/>
  <c r="Z20" i="20"/>
  <c r="AA20" i="20"/>
  <c r="M20" i="20"/>
  <c r="F20" i="20"/>
  <c r="O20" i="20"/>
  <c r="AU20" i="20"/>
  <c r="W20" i="21"/>
  <c r="X20" i="20"/>
  <c r="Y17" i="11" l="1"/>
  <c r="AM19" i="8"/>
  <c r="AI19" i="8"/>
  <c r="F17" i="17"/>
  <c r="AQ17" i="17" s="1"/>
  <c r="D18" i="7"/>
  <c r="AC19" i="8"/>
  <c r="AK19" i="8"/>
  <c r="AA19" i="8"/>
  <c r="D18" i="12"/>
  <c r="R19" i="8"/>
  <c r="C12" i="14"/>
  <c r="K12" i="14" s="1"/>
  <c r="BG10" i="8"/>
  <c r="T19" i="8"/>
  <c r="I10" i="3"/>
  <c r="H9" i="7"/>
  <c r="F15" i="16"/>
  <c r="BL15" i="16" s="1"/>
  <c r="BA18" i="13"/>
  <c r="F17" i="16"/>
  <c r="BL17" i="16" s="1"/>
  <c r="BG16" i="13"/>
  <c r="BD16" i="13"/>
  <c r="BE15" i="13"/>
  <c r="BE16" i="13"/>
  <c r="E12" i="6"/>
  <c r="BG9" i="8"/>
  <c r="BE9" i="8"/>
  <c r="BE12" i="8"/>
  <c r="I12" i="7" s="1"/>
  <c r="AY13" i="13"/>
  <c r="R8" i="9"/>
  <c r="T17" i="11" s="1"/>
  <c r="BH9" i="16"/>
  <c r="BH15" i="16"/>
  <c r="BF16" i="11"/>
  <c r="V17" i="16"/>
  <c r="V11" i="11"/>
  <c r="Q10" i="21"/>
  <c r="BI15" i="11"/>
  <c r="BJ12" i="11"/>
  <c r="BG15" i="11"/>
  <c r="BK17" i="11"/>
  <c r="T15" i="16"/>
  <c r="BV17" i="16"/>
  <c r="BV12" i="16"/>
  <c r="BV11" i="16"/>
  <c r="U10" i="17"/>
  <c r="V12" i="16"/>
  <c r="AA16" i="16"/>
  <c r="AZ12" i="11"/>
  <c r="BG12" i="11"/>
  <c r="BH10" i="11"/>
  <c r="AQ10" i="21"/>
  <c r="S10" i="17"/>
  <c r="Q15" i="17"/>
  <c r="BF15" i="11"/>
  <c r="AQ12" i="21"/>
  <c r="BL16" i="11"/>
  <c r="L12" i="2"/>
  <c r="AA11" i="16"/>
  <c r="S15" i="14"/>
  <c r="V15" i="14" s="1"/>
  <c r="AA10" i="16"/>
  <c r="AQ13" i="21"/>
  <c r="V15" i="16"/>
  <c r="S11" i="17"/>
  <c r="AZ15" i="11"/>
  <c r="AZ18" i="11" s="1"/>
  <c r="L10" i="2"/>
  <c r="X12" i="16"/>
  <c r="S12" i="14"/>
  <c r="V12" i="14" s="1"/>
  <c r="R17" i="14"/>
  <c r="S11" i="14"/>
  <c r="V11" i="14" s="1"/>
  <c r="X10" i="17"/>
  <c r="T17" i="20"/>
  <c r="U10" i="21"/>
  <c r="AA12" i="21"/>
  <c r="L11" i="2"/>
  <c r="V15" i="20"/>
  <c r="V18" i="20" s="1"/>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6" i="11"/>
  <c r="AO17" i="11"/>
  <c r="G18" i="2"/>
  <c r="L17" i="14"/>
  <c r="AF13" i="21"/>
  <c r="AF19" i="21" s="1"/>
  <c r="AV18" i="17"/>
  <c r="E9" i="12"/>
  <c r="G9" i="12"/>
  <c r="E12" i="12"/>
  <c r="E9" i="6"/>
  <c r="J15" i="7"/>
  <c r="L16" i="2"/>
  <c r="C11" i="6"/>
  <c r="I11" i="12" s="1"/>
  <c r="C9" i="6"/>
  <c r="I9" i="12" s="1"/>
  <c r="F12" i="21"/>
  <c r="AO13" i="21"/>
  <c r="T10" i="21"/>
  <c r="H13" i="21"/>
  <c r="H21" i="21" s="1"/>
  <c r="BD18" i="19"/>
  <c r="BC19" i="19"/>
  <c r="AO19" i="19"/>
  <c r="AB13" i="21"/>
  <c r="AB19" i="21" s="1"/>
  <c r="AT18" i="17"/>
  <c r="AO19" i="13"/>
  <c r="AE19" i="13"/>
  <c r="U19" i="13"/>
  <c r="X19" i="13"/>
  <c r="BD17" i="13"/>
  <c r="BG10" i="13"/>
  <c r="D12" i="12"/>
  <c r="BG17" i="8"/>
  <c r="H17" i="2"/>
  <c r="AO15" i="17"/>
  <c r="AP13" i="17"/>
  <c r="BJ13" i="16"/>
  <c r="AL19" i="8"/>
  <c r="C13" i="3"/>
  <c r="C19" i="3"/>
  <c r="O19" i="8"/>
  <c r="AW18" i="21"/>
  <c r="Q19" i="8"/>
  <c r="J9" i="2"/>
  <c r="I17" i="3"/>
  <c r="BI17" i="16"/>
  <c r="I15" i="3"/>
  <c r="E15" i="3"/>
  <c r="I11" i="3"/>
  <c r="AC19" i="17"/>
  <c r="W18" i="16"/>
  <c r="AC12" i="11"/>
  <c r="D12" i="2"/>
  <c r="AO12" i="11"/>
  <c r="K12" i="7"/>
  <c r="K10" i="7"/>
  <c r="B12" i="6"/>
  <c r="D12" i="6"/>
  <c r="AL12" i="11"/>
  <c r="I13" i="2"/>
  <c r="D16" i="2"/>
  <c r="L12" i="14"/>
  <c r="AN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J12" i="12" l="1"/>
  <c r="I15" i="12"/>
  <c r="BL12" i="11"/>
  <c r="V11" i="16"/>
  <c r="BJ17" i="11"/>
  <c r="I12" i="12"/>
  <c r="K9" i="12"/>
  <c r="T9" i="11"/>
  <c r="BH11" i="16"/>
  <c r="BH17" i="16"/>
  <c r="BM16" i="11"/>
  <c r="BL17" i="11"/>
  <c r="BF10" i="11"/>
  <c r="BK15" i="11"/>
  <c r="AP10" i="21"/>
  <c r="BH9" i="11"/>
  <c r="BJ11" i="11"/>
  <c r="BI17" i="11"/>
  <c r="BL11" i="11"/>
  <c r="BM15" i="11"/>
  <c r="BU15" i="17"/>
  <c r="BW17" i="20"/>
  <c r="BW16" i="20"/>
  <c r="BW15" i="20"/>
  <c r="BV10" i="16"/>
  <c r="BU16" i="17"/>
  <c r="AA17" i="16"/>
  <c r="X15" i="17"/>
  <c r="S15" i="16"/>
  <c r="BF12" i="11"/>
  <c r="BL10" i="11"/>
  <c r="BJ10" i="11"/>
  <c r="BH11" i="11"/>
  <c r="S17" i="17"/>
  <c r="BH12" i="16"/>
  <c r="L17" i="2"/>
  <c r="V10" i="16"/>
  <c r="BF11" i="11"/>
  <c r="BL9" i="11"/>
  <c r="BG10" i="11"/>
  <c r="P17" i="17"/>
  <c r="BK12" i="11"/>
  <c r="BK9" i="11"/>
  <c r="X9" i="17"/>
  <c r="BM12" i="11"/>
  <c r="V9" i="11"/>
  <c r="R10" i="21"/>
  <c r="BG9" i="11"/>
  <c r="BH17" i="11"/>
  <c r="AP17" i="20"/>
  <c r="BW9" i="20"/>
  <c r="BV16" i="16"/>
  <c r="BV15" i="16"/>
  <c r="BU9" i="17"/>
  <c r="BU17" i="17"/>
  <c r="BV9" i="16"/>
  <c r="AA15" i="16"/>
  <c r="T16" i="11"/>
  <c r="P15" i="17"/>
  <c r="P18" i="17" s="1"/>
  <c r="P19" i="17" s="1"/>
  <c r="BL15" i="11"/>
  <c r="R11" i="14"/>
  <c r="BK16" i="11"/>
  <c r="BG16" i="11"/>
  <c r="Q16" i="11" s="1"/>
  <c r="BM9" i="11"/>
  <c r="BK10" i="11"/>
  <c r="L15" i="2"/>
  <c r="X15" i="16"/>
  <c r="X18" i="16" s="1"/>
  <c r="AA9" i="16"/>
  <c r="V9" i="16"/>
  <c r="R12" i="14"/>
  <c r="S17" i="14"/>
  <c r="V17" i="14" s="1"/>
  <c r="V18" i="14" s="1"/>
  <c r="X13" i="17"/>
  <c r="AM12" i="11"/>
  <c r="AO12" i="17"/>
  <c r="AM15" i="11"/>
  <c r="AO17" i="17"/>
  <c r="V10" i="21"/>
  <c r="AO10" i="17"/>
  <c r="AO16" i="17"/>
  <c r="X13" i="20"/>
  <c r="AM16" i="11"/>
  <c r="X9" i="16"/>
  <c r="X19" i="16" s="1"/>
  <c r="X16" i="20"/>
  <c r="V12" i="21"/>
  <c r="X17" i="20"/>
  <c r="X17" i="17"/>
  <c r="X16" i="17"/>
  <c r="T11" i="11"/>
  <c r="S16" i="14"/>
  <c r="V16" i="14" s="1"/>
  <c r="S16" i="17"/>
  <c r="U9" i="17"/>
  <c r="U19" i="17" s="1"/>
  <c r="AZ17" i="11"/>
  <c r="AZ9" i="11"/>
  <c r="AZ13" i="11" s="1"/>
  <c r="S9" i="17"/>
  <c r="AP18" i="20"/>
  <c r="X12" i="17"/>
  <c r="T15" i="11"/>
  <c r="L9" i="2"/>
  <c r="X10" i="21"/>
  <c r="S15" i="17"/>
  <c r="BJ16" i="11"/>
  <c r="BH16" i="11"/>
  <c r="BM17" i="11"/>
  <c r="P17" i="11" s="1"/>
  <c r="BH10" i="16"/>
  <c r="T12" i="11"/>
  <c r="BI9" i="11"/>
  <c r="Q17" i="17"/>
  <c r="AZ11" i="11"/>
  <c r="AZ16" i="11"/>
  <c r="BU12" i="17"/>
  <c r="BW10" i="20"/>
  <c r="BW11" i="20"/>
  <c r="BW12" i="20"/>
  <c r="BU10" i="17"/>
  <c r="BU11" i="17"/>
  <c r="T17" i="16"/>
  <c r="R17" i="20"/>
  <c r="R18" i="20" s="1"/>
  <c r="AP15" i="20"/>
  <c r="BJ15" i="11"/>
  <c r="BJ18" i="11" s="1"/>
  <c r="S9" i="14"/>
  <c r="V9" i="14" s="1"/>
  <c r="BI10" i="11"/>
  <c r="BK11" i="11"/>
  <c r="X11" i="17"/>
  <c r="S17" i="16"/>
  <c r="BF17" i="11"/>
  <c r="BF18" i="11" s="1"/>
  <c r="Q17" i="20"/>
  <c r="Q18" i="20" s="1"/>
  <c r="BH15" i="11"/>
  <c r="V15" i="11"/>
  <c r="AP16" i="20"/>
  <c r="X12" i="21"/>
  <c r="R16" i="14"/>
  <c r="R10" i="14"/>
  <c r="S10" i="14"/>
  <c r="V10" i="14"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K18" i="11"/>
  <c r="P15"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BV13" i="16"/>
  <c r="D19" i="12"/>
  <c r="I17" i="12"/>
  <c r="BW21" i="20"/>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1"/>
  <c r="AV20" i="20"/>
  <c r="AW20" i="11"/>
  <c r="L19" i="11" l="1"/>
  <c r="V13" i="21"/>
  <c r="V19" i="21" s="1"/>
  <c r="K16" i="7"/>
  <c r="BU21" i="17"/>
  <c r="P9" i="11"/>
  <c r="AA19" i="11"/>
  <c r="G20" i="21"/>
  <c r="R13" i="21"/>
  <c r="R19" i="21" s="1"/>
  <c r="BH13" i="11"/>
  <c r="U13" i="17"/>
  <c r="R19" i="20"/>
  <c r="AZ19" i="11"/>
  <c r="S18" i="16"/>
  <c r="S19" i="16" s="1"/>
  <c r="BK13" i="11"/>
  <c r="BK19" i="1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<sst xmlns="http://schemas.openxmlformats.org/spreadsheetml/2006/main" count="2094" uniqueCount="913">
  <si>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</si>
  <si>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</si>
  <si>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</si>
  <si>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</si>
  <si>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</si>
  <si>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</si>
  <si>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</si>
  <si>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</si>
  <si>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</si>
  <si>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</si>
  <si>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</si>
  <si>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</si>
  <si>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</si>
  <si>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</si>
  <si>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</si>
  <si>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</si>
  <si>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</si>
  <si>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</si>
  <si>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</si>
  <si>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</si>
  <si>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</si>
  <si>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</si>
  <si>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</si>
  <si>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</si>
  <si>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</si>
  <si>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</si>
  <si>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</si>
  <si>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</si>
  <si>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</si>
  <si>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</si>
  <si>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</si>
  <si>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</si>
  <si>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</si>
  <si>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</si>
  <si>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</si>
  <si>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</si>
  <si>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</si>
  <si>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</si>
  <si>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</si>
  <si>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</si>
  <si>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</si>
  <si>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</si>
  <si>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</si>
  <si>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</si>
  <si>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</si>
  <si>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</si>
  <si>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</si>
  <si>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</si>
  <si>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</si>
  <si>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</si>
  <si>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</si>
  <si>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</si>
  <si>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</si>
  <si>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</si>
  <si>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</si>
  <si>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</si>
  <si>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</si>
  <si>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</si>
  <si>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</si>
  <si>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</si>
  <si>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</si>
  <si>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</si>
  <si>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</si>
  <si>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</si>
  <si>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</si>
  <si>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</si>
  <si>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</si>
  <si>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</si>
  <si>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</si>
  <si>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</si>
  <si>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</si>
  <si>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</si>
  <si>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</si>
  <si>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</si>
  <si>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</si>
  <si>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</si>
  <si>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</si>
  <si>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</si>
  <si>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</si>
  <si>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</si>
  <si>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</si>
  <si>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</si>
  <si>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</si>
  <si>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</si>
  <si>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</si>
  <si>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</si>
  <si>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</si>
  <si>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</si>
  <si>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</si>
  <si>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</si>
  <si>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</si>
  <si>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</si>
  <si>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</si>
  <si>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</si>
  <si>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</si>
  <si>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</si>
  <si>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</si>
  <si>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</si>
  <si>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</si>
  <si>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</si>
  <si>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</si>
  <si>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</si>
  <si>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</si>
  <si>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</si>
  <si>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</si>
  <si>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</si>
  <si>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</si>
  <si>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</si>
  <si>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</si>
  <si>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</si>
  <si>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</si>
  <si>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</si>
  <si>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</si>
  <si>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</si>
  <si>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</si>
  <si>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</si>
  <si>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</si>
  <si>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</si>
  <si>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</si>
  <si>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</si>
  <si>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</si>
  <si>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</si>
  <si>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</si>
  <si>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</si>
  <si>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</si>
  <si>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</si>
  <si>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</si>
  <si>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</si>
  <si>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</si>
  <si>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</si>
  <si>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</si>
  <si>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</si>
  <si>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</si>
  <si>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</si>
  <si>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</si>
  <si>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</si>
  <si>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</si>
  <si>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</si>
  <si>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</si>
  <si>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</si>
  <si>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</si>
  <si>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</si>
  <si>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</si>
  <si>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</si>
  <si>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</si>
  <si>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</si>
  <si>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</si>
  <si>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</si>
  <si>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</si>
  <si>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</si>
  <si>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</si>
  <si>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</si>
  <si>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</si>
  <si>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</si>
  <si>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</si>
  <si>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</si>
  <si>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</si>
  <si>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</si>
  <si>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</si>
  <si>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</si>
  <si>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</si>
  <si>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</si>
  <si>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</si>
  <si>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</si>
  <si>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</si>
  <si>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</si>
  <si>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</si>
  <si>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</si>
  <si>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</si>
  <si>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</si>
  <si>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</si>
  <si>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</si>
  <si>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</si>
  <si>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</si>
  <si>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</si>
  <si>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</si>
  <si>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</si>
  <si>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</si>
  <si>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</si>
  <si>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</si>
  <si>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</si>
  <si>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</si>
  <si>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</si>
  <si>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</si>
  <si>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</si>
  <si>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</si>
  <si>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</si>
  <si>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</si>
  <si>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</si>
  <si>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</si>
  <si>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</si>
  <si>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</si>
  <si>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</si>
  <si>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</si>
  <si>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</si>
  <si>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</si>
  <si>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</si>
  <si>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</si>
  <si>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</si>
  <si>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</si>
  <si>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</si>
  <si>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</si>
  <si>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</si>
  <si>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</si>
  <si>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</si>
  <si>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</si>
  <si>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</si>
  <si>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</si>
  <si>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</si>
  <si>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</si>
  <si>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</si>
  <si>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</si>
  <si>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</si>
  <si>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</si>
  <si>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</si>
  <si>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</si>
  <si>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</si>
  <si>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</si>
  <si>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</si>
  <si>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</si>
  <si>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</si>
  <si>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</si>
  <si>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</si>
  <si>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</si>
  <si>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</si>
  <si>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</si>
  <si>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</si>
  <si>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</si>
  <si>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</si>
  <si>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</si>
  <si>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</si>
  <si>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</si>
  <si>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</si>
  <si>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</si>
  <si>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</si>
  <si>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</si>
  <si>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</si>
  <si>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</si>
  <si>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</si>
  <si>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</si>
  <si>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</si>
  <si>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</si>
  <si>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</si>
  <si>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</si>
  <si>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</si>
  <si>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</si>
  <si>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</si>
  <si>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</si>
  <si>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</si>
  <si>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</si>
  <si>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</si>
  <si>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</si>
  <si>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</si>
  <si>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</si>
  <si>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</si>
  <si>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</si>
  <si>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</si>
  <si>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</si>
  <si>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</si>
  <si>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</si>
  <si>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</si>
  <si>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</si>
  <si>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</si>
  <si>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</si>
  <si>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</si>
  <si>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</si>
  <si>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</si>
  <si>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</si>
  <si>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</si>
  <si>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</si>
  <si>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</si>
  <si>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</si>
  <si>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</si>
  <si>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</si>
  <si>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</si>
  <si>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</si>
  <si>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</si>
  <si>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</si>
  <si>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</si>
  <si>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</si>
  <si>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</si>
  <si>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</si>
  <si>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</si>
  <si>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</si>
  <si>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</si>
  <si>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</si>
  <si>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</si>
  <si>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</si>
  <si>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</si>
  <si>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</si>
  <si>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</si>
  <si>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</si>
  <si>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</si>
  <si>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</si>
  <si>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</si>
  <si>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</si>
  <si>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</si>
  <si>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</si>
  <si>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</si>
  <si>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</si>
  <si>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</si>
  <si>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</si>
  <si>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</si>
  <si>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</si>
  <si>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</si>
  <si>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</si>
  <si>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</si>
  <si>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</si>
  <si>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</si>
  <si>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</si>
  <si>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</si>
  <si>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</si>
  <si>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</si>
  <si>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</si>
  <si>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</si>
  <si>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</si>
  <si>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</si>
  <si>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</si>
  <si>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</si>
  <si>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</si>
  <si>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</si>
  <si>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</si>
  <si>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</si>
  <si>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</si>
  <si>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</si>
  <si>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</si>
  <si>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</si>
  <si>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</si>
  <si>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</si>
  <si>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</si>
  <si>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</si>
  <si>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</si>
  <si>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</si>
  <si>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</si>
  <si>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</si>
  <si>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</si>
  <si>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</si>
  <si>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</si>
  <si>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</si>
  <si>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</si>
  <si>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</si>
  <si>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</si>
  <si>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</si>
  <si>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</si>
  <si>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</si>
  <si>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</si>
  <si>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</si>
  <si>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</si>
  <si>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</si>
  <si>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</si>
  <si>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</si>
  <si>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</si>
  <si>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</si>
  <si>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</si>
  <si>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</si>
  <si>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</si>
  <si>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</si>
  <si>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</si>
  <si>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</si>
  <si>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</si>
  <si>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</si>
  <si>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</si>
  <si>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</si>
  <si>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</si>
  <si>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</si>
  <si>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</si>
  <si>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</si>
  <si>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</si>
  <si>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</si>
  <si>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</si>
  <si>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</si>
  <si>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</si>
  <si>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</si>
  <si>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</si>
  <si>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</si>
  <si>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</si>
  <si>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</si>
  <si>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</si>
  <si>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</si>
  <si>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</si>
  <si>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</si>
  <si>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</si>
  <si>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</si>
  <si>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</si>
  <si>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</si>
  <si>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</si>
  <si>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</si>
  <si>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</si>
  <si>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</si>
  <si>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</si>
  <si>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</si>
  <si>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</si>
  <si>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</si>
  <si>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</si>
  <si>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</si>
  <si>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</si>
  <si>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</si>
  <si>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</si>
  <si>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</si>
  <si>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</si>
  <si>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</si>
  <si>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</si>
  <si>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</si>
  <si>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</si>
  <si>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</si>
  <si>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</si>
  <si>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</si>
  <si>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</si>
  <si>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</si>
  <si>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</si>
  <si>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</si>
  <si>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</si>
  <si>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</si>
  <si>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</si>
  <si>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</si>
  <si>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</si>
  <si>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</si>
  <si>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</si>
  <si>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</si>
  <si>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</si>
  <si>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</si>
  <si>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</si>
  <si>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</si>
  <si>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</si>
  <si>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</si>
  <si>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</si>
  <si>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</si>
  <si>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</si>
  <si>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</si>
  <si>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</si>
  <si>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</si>
  <si>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</si>
  <si>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</si>
  <si>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</si>
  <si>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</si>
  <si>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</si>
  <si>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</si>
  <si>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</si>
  <si>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</si>
  <si>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</si>
  <si>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</si>
  <si>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</si>
  <si>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</si>
  <si>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</si>
  <si>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</si>
  <si>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</si>
  <si>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</si>
  <si>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</si>
  <si>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</si>
  <si>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</si>
  <si>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</si>
  <si>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</si>
  <si>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</si>
  <si>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</si>
  <si>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</si>
  <si>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</si>
  <si>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</si>
  <si>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</si>
  <si>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</si>
  <si>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</si>
  <si>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</si>
  <si>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</si>
  <si>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</si>
  <si>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</si>
  <si>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</si>
  <si>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</si>
  <si>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</si>
  <si>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</si>
  <si>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</si>
  <si>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</si>
  <si>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</si>
  <si>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</si>
  <si>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</si>
  <si>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</si>
  <si>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</si>
  <si>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</si>
  <si>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</si>
  <si>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</si>
  <si>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</si>
  <si>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</si>
  <si>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</si>
  <si>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</si>
  <si>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</si>
  <si>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</si>
  <si>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</si>
  <si>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</si>
  <si>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</si>
  <si>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</si>
  <si>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</si>
  <si>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</si>
  <si>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</si>
  <si>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</si>
  <si>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</si>
  <si>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</si>
  <si>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</si>
  <si>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</si>
  <si>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</si>
  <si>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</si>
  <si>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</si>
  <si>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</si>
  <si>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</si>
  <si>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</si>
  <si>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</si>
  <si>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</si>
  <si>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</si>
  <si>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</si>
  <si>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</si>
  <si>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</si>
  <si>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</si>
  <si>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</si>
  <si>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</si>
  <si>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</si>
  <si>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</si>
  <si>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</si>
  <si>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</si>
  <si>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</si>
  <si>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</si>
  <si>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</si>
  <si>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</si>
  <si>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</si>
  <si>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</si>
  <si>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</si>
  <si>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</si>
  <si>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</si>
  <si>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</si>
  <si>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</si>
  <si>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</si>
  <si>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</si>
  <si>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</si>
  <si>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</si>
  <si>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</si>
  <si>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</si>
  <si>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</si>
  <si>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</si>
  <si>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</si>
  <si>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</si>
  <si>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</si>
  <si>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</si>
  <si>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</si>
  <si>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</si>
  <si>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</si>
  <si>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</si>
  <si>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</si>
  <si>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</si>
  <si>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</si>
  <si>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</si>
  <si>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</si>
  <si>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</si>
  <si>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</si>
  <si>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</si>
  <si>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</si>
  <si>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</si>
  <si>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</si>
  <si>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</si>
  <si>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</si>
  <si>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</si>
  <si>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</si>
  <si>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</si>
  <si>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</si>
  <si>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</si>
  <si>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</si>
  <si>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</si>
  <si>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</si>
  <si>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</si>
  <si>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</si>
  <si>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</si>
  <si>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</si>
  <si>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</si>
  <si>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</si>
  <si>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</si>
  <si>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</si>
  <si>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</si>
  <si>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</si>
  <si>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</si>
  <si>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</si>
  <si>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</si>
  <si>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</si>
  <si>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</si>
  <si>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</si>
  <si>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</si>
  <si>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</si>
  <si>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</si>
  <si>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</si>
  <si>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</si>
  <si>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</si>
  <si>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</si>
  <si>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</si>
  <si>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</si>
  <si>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</si>
  <si>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</si>
  <si>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</si>
  <si>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</si>
  <si>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</si>
  <si>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</si>
  <si>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</si>
  <si>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</si>
  <si>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</si>
  <si>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</si>
  <si>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</si>
  <si>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</si>
  <si>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</si>
  <si>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</si>
  <si>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</si>
  <si>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</si>
  <si>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</si>
  <si>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</si>
  <si>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</si>
  <si>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</si>
  <si>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</si>
  <si>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</si>
  <si>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</si>
  <si>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</si>
  <si>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</si>
  <si>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</si>
  <si>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</si>
  <si>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</si>
  <si>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</si>
  <si>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</si>
  <si>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</si>
  <si>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</si>
  <si>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</si>
  <si>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</si>
  <si>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</si>
  <si>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</si>
  <si>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</si>
  <si>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</si>
  <si>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</si>
  <si>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</si>
  <si>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</si>
  <si>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</si>
  <si>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</si>
  <si>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</si>
  <si>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</si>
  <si>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</si>
  <si>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</si>
  <si>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</si>
  <si>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</si>
  <si>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</si>
  <si>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</si>
  <si>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</si>
  <si>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</si>
  <si>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</si>
  <si>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</si>
  <si>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</si>
  <si>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</si>
  <si>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</si>
  <si>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</si>
  <si>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</si>
  <si>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</si>
  <si>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</si>
  <si>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</si>
  <si>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</si>
  <si>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</si>
  <si>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</si>
  <si>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</si>
  <si>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</si>
  <si>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</si>
  <si>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</si>
  <si>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</si>
  <si>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</si>
  <si>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</si>
  <si>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</si>
  <si>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</si>
  <si>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</si>
  <si>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</si>
  <si>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</si>
  <si>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</si>
  <si>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</si>
  <si>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</si>
  <si>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</si>
  <si>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</si>
  <si>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</si>
  <si>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</si>
  <si>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</si>
  <si>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</si>
  <si>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</si>
  <si>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</si>
  <si>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</si>
  <si>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</si>
  <si>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</si>
  <si>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</si>
  <si>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</si>
  <si>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</si>
  <si>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</si>
  <si>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</si>
  <si>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</si>
  <si>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</si>
  <si>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</si>
  <si>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</si>
  <si>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</si>
  <si>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</si>
  <si>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</si>
  <si>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</si>
  <si>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</si>
  <si>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</si>
  <si>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</si>
  <si>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</si>
  <si>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</si>
  <si>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</si>
  <si>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</si>
  <si>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</si>
  <si>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</si>
  <si>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</si>
  <si>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</si>
  <si>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</si>
  <si>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</si>
  <si>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</si>
  <si>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</si>
  <si>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</si>
  <si>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</si>
  <si>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</si>
  <si>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</si>
  <si>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</si>
  <si>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</si>
  <si>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</si>
  <si>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</si>
  <si>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</si>
  <si>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</si>
  <si>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</si>
  <si>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</si>
  <si>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</si>
  <si>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</si>
  <si>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</si>
  <si>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</si>
  <si>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</si>
  <si>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</si>
  <si>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</si>
  <si>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</si>
  <si>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</si>
  <si>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</si>
  <si>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</si>
  <si>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</si>
  <si>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</si>
  <si>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</si>
  <si>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</si>
  <si>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</si>
  <si>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</si>
  <si>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</si>
  <si>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</si>
  <si>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</si>
  <si>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</si>
  <si>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</si>
  <si>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</si>
  <si>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</si>
  <si>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</si>
  <si>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</si>
  <si>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</si>
  <si>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</si>
  <si>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</si>
  <si>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</si>
  <si>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</si>
  <si>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</si>
  <si>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</si>
  <si>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</si>
  <si>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</si>
  <si>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</si>
  <si>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</si>
  <si>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</si>
  <si>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</si>
  <si>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</si>
  <si>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</si>
  <si>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</si>
  <si>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</si>
  <si>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</si>
  <si>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</si>
  <si>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</si>
  <si>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</si>
  <si>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</si>
  <si>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</si>
  <si>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</si>
  <si>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</si>
  <si>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</si>
  <si>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</si>
  <si>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</si>
  <si>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</si>
  <si>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</si>
  <si>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</si>
  <si>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</si>
  <si>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</si>
  <si>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</si>
  <si>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</si>
  <si>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</si>
  <si>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</si>
  <si>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</si>
  <si>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</si>
  <si>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</si>
  <si>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</si>
  <si>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</si>
  <si>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</si>
  <si>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</si>
  <si>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</si>
  <si>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</si>
  <si>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</si>
  <si>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</si>
  <si>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</si>
  <si>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</si>
  <si>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</si>
  <si>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</si>
  <si>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</si>
  <si>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</si>
  <si>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</si>
  <si>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</si>
  <si>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</si>
  <si>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</si>
  <si>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</si>
  <si>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</si>
  <si>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</si>
  <si>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</si>
  <si>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</si>
  <si>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</si>
  <si>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</si>
  <si>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</si>
  <si>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</si>
  <si>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</si>
  <si>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</si>
  <si>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</si>
  <si>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</si>
  <si>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</si>
  <si>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</si>
  <si>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</si>
  <si>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</si>
  <si>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</si>
  <si>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</si>
  <si>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</si>
  <si>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</si>
  <si>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</si>
  <si>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</si>
  <si>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</si>
  <si>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</si>
  <si>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</si>
  <si>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</si>
  <si>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</si>
  <si>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</si>
  <si>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</si>
  <si>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</si>
  <si>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</si>
  <si>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</si>
  <si>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</si>
  <si>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</si>
  <si>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</si>
  <si>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</si>
  <si>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</si>
  <si>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</si>
  <si>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</si>
  <si>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</si>
  <si>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</si>
  <si>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</si>
  <si>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</si>
  <si>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</si>
  <si>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</si>
  <si>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</si>
  <si>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</si>
  <si>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</si>
  <si>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</si>
  <si>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</si>
  <si>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</si>
  <si>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</si>
  <si>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</si>
  <si>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</si>
  <si>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</si>
  <si>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</si>
  <si>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</si>
  <si>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</si>
  <si>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</si>
  <si>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</si>
  <si>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</si>
  <si>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</si>
  <si>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</si>
  <si>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</si>
  <si>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</si>
  <si>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</si>
  <si>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</si>
  <si>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</si>
  <si>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</si>
  <si>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</si>
  <si>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</si>
  <si>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</si>
  <si>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</si>
  <si>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</si>
  <si>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</si>
  <si>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</si>
  <si>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</si>
  <si>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</si>
  <si>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</si>
  <si>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</si>
  <si>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</si>
  <si>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</si>
  <si>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</si>
  <si>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</si>
  <si>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</si>
  <si>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</si>
  <si>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</si>
  <si>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</si>
  <si>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</si>
  <si>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</si>
  <si>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</si>
  <si>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</si>
  <si>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</si>
  <si>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</si>
  <si>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</si>
  <si>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</si>
  <si>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</si>
  <si>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</si>
  <si>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</si>
  <si>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</si>
  <si>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</si>
  <si>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</si>
  <si>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</si>
  <si>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</si>
  <si>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</si>
  <si>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HUELVA</t>
  </si>
  <si>
    <t>Resumenes por Partidos Judiciales</t>
  </si>
  <si>
    <t>AYAMONTE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</si>
</sst>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9rYYLl0GWFKx+Z9clFsdWr+T5TtoK10MCkMZ1E67EhUsEoUPRrac+YgkM2o8yW3p2z3MtxaWJSc9/8rdLDrJQ==" saltValue="r6psblHy0sRM5NVO4zkx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98</v>
      </c>
      <c r="D10" s="228">
        <f>IF(ISNUMBER(Datos!I10),Datos!I10," - ")</f>
        <v>98</v>
      </c>
      <c r="E10" s="229">
        <f>IF(ISNUMBER(Datos!J10),Datos!J10," - ")</f>
        <v>24</v>
      </c>
      <c r="F10" s="229">
        <f>IF(ISNUMBER(Datos!K10),Datos!K10," - ")</f>
        <v>17</v>
      </c>
      <c r="G10" s="1037" t="str">
        <f>IF(Datos!E10&lt;&gt;"",Datos!E10,Datos!D10)</f>
        <v>37</v>
      </c>
      <c r="H10" s="230">
        <f>IF(ISNUMBER(Datos!L10),Datos!L10," - ")</f>
        <v>105</v>
      </c>
      <c r="I10" s="1047" t="str">
        <f>IF(ISNUMBER(Datos!AS10/Datos!BM10),Datos!AS10/Datos!BM10," - ")</f>
        <v xml:space="preserve"> - </v>
      </c>
      <c r="J10" s="1048">
        <f>IF(ISNUMBER(Datos!BY10/Datos!CN10),Datos!BY10/Datos!CN10," - ")</f>
        <v>0</v>
      </c>
      <c r="K10" s="233">
        <f t="shared" ref="K10:K12" si="1">IF(ISNUMBER((E10-F10)/C10),(E10-F10)/C10," - ")</f>
        <v>7.1428571428571425E-2</v>
      </c>
      <c r="L10" s="1028">
        <f>IF(ISNUMBER(NºAsuntos!I10/NºAsuntos!G10),(NºAsuntos!I10/NºAsuntos!G10)*11," - ")</f>
        <v>67.941176470588232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95.591208791208786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98</v>
      </c>
      <c r="D13" s="1052">
        <f>SUBTOTAL(9,D9:D12)</f>
        <v>98</v>
      </c>
      <c r="E13" s="1053">
        <f>SUBTOTAL(9,E9:E12)</f>
        <v>24</v>
      </c>
      <c r="F13" s="1054">
        <f>SUBTOTAL(9,F9:F12)</f>
        <v>17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4624</v>
      </c>
      <c r="D16" s="228">
        <f>IF(ISNUMBER(IF(D_I="SI",Datos!I16,Datos!I16+Datos!AC16)),IF(D_I="SI",Datos!I16,Datos!I16+Datos!AC16)," - ")</f>
        <v>4612</v>
      </c>
      <c r="E16" s="229">
        <f>IF(ISNUMBER(IF(D_I="SI",Datos!J16,Datos!J16+Datos!AD16)),IF(D_I="SI",Datos!J16,Datos!J16+Datos!AD16)," - ")</f>
        <v>1866</v>
      </c>
      <c r="F16" s="229">
        <f>IF(ISNUMBER(IF(D_I="SI",Datos!K16,Datos!K16+Datos!AE16)),IF(D_I="SI",Datos!K16,Datos!K16+Datos!AE16)," - ")</f>
        <v>1314</v>
      </c>
      <c r="G16" s="1037" t="str">
        <f>IF(Datos!E16&lt;&gt;"",Datos!E16,Datos!D16)</f>
        <v>04</v>
      </c>
      <c r="H16" s="230">
        <f>IF(ISNUMBER(IF(D_I="SI",Datos!L16,Datos!L16+Datos!AF16)),IF(D_I="SI",Datos!L16,Datos!L16+Datos!AF16)," - ")</f>
        <v>5176</v>
      </c>
      <c r="I16" s="1047" t="str">
        <f>IF(ISNUMBER(Datos!AS16/Datos!BM16),Datos!AS16/Datos!BM16," - ")</f>
        <v xml:space="preserve"> - </v>
      </c>
      <c r="J16" s="1048">
        <f>IF(ISNUMBER(Datos!BY16/Datos!CN16),Datos!BY16/Datos!CN16," - ")</f>
        <v>0</v>
      </c>
      <c r="K16" s="233">
        <f t="shared" si="3"/>
        <v>0.11937716262975778</v>
      </c>
      <c r="L16" s="1028">
        <f>IF(ISNUMBER(NºAsuntos!I16/NºAsuntos!G16),(NºAsuntos!I16/NºAsuntos!G16)*11," - ")</f>
        <v>43.330289193302889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338</v>
      </c>
      <c r="D17" s="228">
        <f>IF(ISNUMBER(IF(D_I="SI",Datos!I17,Datos!I17+Datos!AC17)),IF(D_I="SI",Datos!I17,Datos!I17+Datos!AC17)," - ")</f>
        <v>338</v>
      </c>
      <c r="E17" s="229">
        <f>IF(ISNUMBER(IF(D_I="SI",Datos!J17,Datos!J17+Datos!AD17)),IF(D_I="SI",Datos!J17,Datos!J17+Datos!AD17)," - ")</f>
        <v>238</v>
      </c>
      <c r="F17" s="229">
        <f>IF(ISNUMBER(IF(D_I="SI",Datos!K17,Datos!K17+Datos!AE17)),IF(D_I="SI",Datos!K17,Datos!K17+Datos!AE17)," - ")</f>
        <v>335</v>
      </c>
      <c r="G17" s="1037" t="str">
        <f>IF(Datos!E17&lt;&gt;"",Datos!E17,Datos!D17)</f>
        <v>37</v>
      </c>
      <c r="H17" s="230">
        <f>IF(ISNUMBER(IF(D_I="SI",Datos!L17,Datos!L17+Datos!AF17)),IF(D_I="SI",Datos!L17,Datos!L17+Datos!AF17)," - ")</f>
        <v>241</v>
      </c>
      <c r="I17" s="1047" t="str">
        <f>IF(ISNUMBER(Datos!AS17/Datos!BM17),Datos!AS17/Datos!BM17," - ")</f>
        <v xml:space="preserve"> - </v>
      </c>
      <c r="J17" s="1048" t="str">
        <f>IF(ISNUMBER((Datos!BY17+Datos!BZ17)/Datos!CN17),(Datos!BY17+Datos!BZ17)/Datos!CN17," - ")</f>
        <v xml:space="preserve"> - </v>
      </c>
      <c r="K17" s="233">
        <f t="shared" si="3"/>
        <v>-0.28698224852071008</v>
      </c>
      <c r="L17" s="1028">
        <f>IF(ISNUMBER(NºAsuntos!I17/NºAsuntos!G17),(NºAsuntos!I17/NºAsuntos!G17)*11," - ")</f>
        <v>7.9134328358208954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4962</v>
      </c>
      <c r="D18" s="1052">
        <f>SUBTOTAL(9,D15:D17)</f>
        <v>4950</v>
      </c>
      <c r="E18" s="1053">
        <f>SUBTOTAL(9,E15:E17)</f>
        <v>2104</v>
      </c>
      <c r="F18" s="1053">
        <f>SUBTOTAL(9,F15:F17)</f>
        <v>1649</v>
      </c>
      <c r="G18" s="1055" t="str">
        <f ca="1">INDIRECT(CONCATENATE("G",ROW()-1))</f>
        <v>37</v>
      </c>
      <c r="H18" s="1056">
        <f ca="1">SUMIF(G$14:G17,G18,H$14:H17)</f>
        <v>241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5060</v>
      </c>
      <c r="D19" s="1074">
        <f>SUBTOTAL(9,D9:D18)</f>
        <v>5048</v>
      </c>
      <c r="E19" s="1075">
        <f>SUBTOTAL(9,E9:E18)</f>
        <v>2128</v>
      </c>
      <c r="F19" s="1075">
        <f>SUBTOTAL(9,F9:F18)</f>
        <v>1666</v>
      </c>
      <c r="G19" s="1076"/>
      <c r="H19" s="1077">
        <f ca="1">SUMIF(B9:B18,"TOTAL",H9:H18)</f>
        <v>241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r5XlDofDtFqnnSQ819FZehdYfBFcWxhe1GJ0+TEoYBsYUgh2UPp/wg2x6FVllpEyh8Nvfb6MrLTb+wuFE8sIDw==" saltValue="iZzr+5FjRTYhbBM24SHCw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6zjeOWfxapbr9a8h9zSI86EWBMAGkWG3MXkxrugKiJc3gBupIsH8S44m2pD1zvSSnUWaIgGpwiM+4sOmgDXYJg==" saltValue="4YySJ1E1gHGJnqOccw3a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98</v>
      </c>
      <c r="J10" s="184">
        <v>24</v>
      </c>
      <c r="K10" s="184">
        <v>17</v>
      </c>
      <c r="L10" s="184">
        <v>105</v>
      </c>
      <c r="M10" s="184">
        <v>5</v>
      </c>
      <c r="N10" s="184">
        <v>8</v>
      </c>
      <c r="O10" s="184">
        <v>4</v>
      </c>
      <c r="P10" s="184">
        <v>3</v>
      </c>
      <c r="Q10" s="184">
        <v>0</v>
      </c>
      <c r="R10" s="184">
        <v>82</v>
      </c>
      <c r="S10" s="184">
        <v>96</v>
      </c>
      <c r="T10" s="184">
        <v>17</v>
      </c>
      <c r="U10" s="184">
        <v>14</v>
      </c>
      <c r="V10" s="184">
        <v>99</v>
      </c>
      <c r="W10" s="184">
        <v>8</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96</v>
      </c>
      <c r="AZ10" s="129">
        <f t="shared" si="0"/>
        <v>17</v>
      </c>
      <c r="BA10" s="129">
        <f t="shared" si="0"/>
        <v>14</v>
      </c>
      <c r="BB10" s="129">
        <f t="shared" si="0"/>
        <v>99</v>
      </c>
      <c r="BC10" s="125">
        <f t="shared" si="0"/>
        <v>8</v>
      </c>
      <c r="BD10" s="126">
        <f>IF(ISNUMBER(BA10/AZ10),BA10/AZ10," - ")</f>
        <v>0.82352941176470584</v>
      </c>
      <c r="BE10" s="127">
        <f>IF(ISNUMBER(BB10/BA10),BB10/BA10, " - ")</f>
        <v>7.0714285714285712</v>
      </c>
      <c r="BF10" s="127">
        <f>IF(ISNUMBER(BC10/BA10),BC10/BA10, " - ")</f>
        <v>0.5714285714285714</v>
      </c>
      <c r="BG10" s="199">
        <f>IF(ISNUMBER((AY10+AZ10)/BA10),(AY10+AZ10)/BA10," - ")</f>
        <v>8.0714285714285712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7371</v>
      </c>
      <c r="J12" s="186">
        <v>1224</v>
      </c>
      <c r="K12" s="186">
        <v>877</v>
      </c>
      <c r="L12" s="186">
        <v>7718</v>
      </c>
      <c r="M12" s="186">
        <v>122</v>
      </c>
      <c r="N12" s="186">
        <v>295</v>
      </c>
      <c r="O12" s="184">
        <v>548</v>
      </c>
      <c r="P12" s="186">
        <v>240</v>
      </c>
      <c r="Q12" s="186">
        <v>75</v>
      </c>
      <c r="R12" s="186">
        <v>7410</v>
      </c>
      <c r="S12" s="186">
        <v>6066</v>
      </c>
      <c r="T12" s="186">
        <v>1003</v>
      </c>
      <c r="U12" s="186">
        <v>819</v>
      </c>
      <c r="V12" s="186">
        <v>6250</v>
      </c>
      <c r="W12" s="186">
        <v>159</v>
      </c>
      <c r="X12" s="192">
        <v>255</v>
      </c>
      <c r="Y12" s="194">
        <v>144</v>
      </c>
      <c r="Z12" s="184">
        <v>79</v>
      </c>
      <c r="AA12" s="184">
        <v>33</v>
      </c>
      <c r="AB12" s="184">
        <v>190</v>
      </c>
      <c r="AC12" s="186">
        <v>0</v>
      </c>
      <c r="AD12" s="186">
        <v>0</v>
      </c>
      <c r="AE12" s="186">
        <v>0</v>
      </c>
      <c r="AF12" s="192">
        <v>0</v>
      </c>
      <c r="AG12" s="205">
        <v>191</v>
      </c>
      <c r="AH12" s="186">
        <v>42</v>
      </c>
      <c r="AI12" s="186">
        <v>68</v>
      </c>
      <c r="AJ12" s="206">
        <v>165</v>
      </c>
      <c r="AK12" s="185">
        <v>0</v>
      </c>
      <c r="AL12" s="186">
        <v>0</v>
      </c>
      <c r="AM12" s="186">
        <v>0</v>
      </c>
      <c r="AN12" s="192">
        <v>0</v>
      </c>
      <c r="AO12" s="262">
        <v>6</v>
      </c>
      <c r="AP12" s="158">
        <v>6</v>
      </c>
      <c r="AQ12" s="158">
        <v>6</v>
      </c>
      <c r="AR12" s="157">
        <v>6</v>
      </c>
      <c r="AS12" s="343" t="s">
        <v>807</v>
      </c>
      <c r="AT12" s="206"/>
      <c r="AU12" s="205"/>
      <c r="AV12" s="206"/>
      <c r="AW12" s="205"/>
      <c r="AX12" s="206"/>
      <c r="AY12" s="126">
        <f t="shared" si="1"/>
        <v>6257</v>
      </c>
      <c r="AZ12" s="127">
        <f t="shared" si="1"/>
        <v>1045</v>
      </c>
      <c r="BA12" s="127">
        <f t="shared" si="1"/>
        <v>887</v>
      </c>
      <c r="BB12" s="127">
        <f t="shared" si="1"/>
        <v>6415</v>
      </c>
      <c r="BC12" s="125">
        <f>IF(ISNUMBER(X12),X12," - ")</f>
        <v>255</v>
      </c>
      <c r="BD12" s="126">
        <f t="shared" si="2"/>
        <v>0.84880382775119623</v>
      </c>
      <c r="BE12" s="127">
        <f t="shared" si="3"/>
        <v>7.2322435174746333</v>
      </c>
      <c r="BF12" s="127">
        <f t="shared" si="4"/>
        <v>0.2874859075535513</v>
      </c>
      <c r="BG12" s="199">
        <f t="shared" si="5"/>
        <v>8.2322435174746342</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7469</v>
      </c>
      <c r="J13" s="187">
        <f t="shared" si="6"/>
        <v>1248</v>
      </c>
      <c r="K13" s="187">
        <f t="shared" si="6"/>
        <v>894</v>
      </c>
      <c r="L13" s="187">
        <f t="shared" si="6"/>
        <v>7823</v>
      </c>
      <c r="M13" s="187">
        <f t="shared" si="6"/>
        <v>127</v>
      </c>
      <c r="N13" s="187">
        <f t="shared" si="6"/>
        <v>303</v>
      </c>
      <c r="O13" s="187">
        <f t="shared" si="6"/>
        <v>552</v>
      </c>
      <c r="P13" s="187">
        <f t="shared" si="6"/>
        <v>243</v>
      </c>
      <c r="Q13" s="187">
        <f t="shared" si="6"/>
        <v>75</v>
      </c>
      <c r="R13" s="187">
        <f t="shared" si="6"/>
        <v>7492</v>
      </c>
      <c r="S13" s="187">
        <f t="shared" si="6"/>
        <v>6162</v>
      </c>
      <c r="T13" s="187">
        <f t="shared" si="6"/>
        <v>1020</v>
      </c>
      <c r="U13" s="187">
        <f t="shared" si="6"/>
        <v>833</v>
      </c>
      <c r="V13" s="187">
        <f t="shared" si="6"/>
        <v>6349</v>
      </c>
      <c r="W13" s="187">
        <f t="shared" si="6"/>
        <v>167</v>
      </c>
      <c r="X13" s="187">
        <f t="shared" si="6"/>
        <v>258</v>
      </c>
      <c r="Y13" s="187">
        <f t="shared" si="6"/>
        <v>144</v>
      </c>
      <c r="Z13" s="187">
        <f t="shared" si="6"/>
        <v>79</v>
      </c>
      <c r="AA13" s="187">
        <f t="shared" si="6"/>
        <v>33</v>
      </c>
      <c r="AB13" s="187">
        <f t="shared" si="6"/>
        <v>190</v>
      </c>
      <c r="AC13" s="187">
        <f t="shared" si="6"/>
        <v>0</v>
      </c>
      <c r="AD13" s="187">
        <f t="shared" si="6"/>
        <v>0</v>
      </c>
      <c r="AE13" s="187">
        <f t="shared" si="6"/>
        <v>0</v>
      </c>
      <c r="AF13" s="187">
        <f>SUBTOTAL(9,AF9:AF12)</f>
        <v>0</v>
      </c>
      <c r="AG13" s="187">
        <f t="shared" ref="AG13:AT13" si="7">SUBTOTAL(9,AG8:AG12)</f>
        <v>191</v>
      </c>
      <c r="AH13" s="187">
        <f t="shared" si="7"/>
        <v>42</v>
      </c>
      <c r="AI13" s="187">
        <f t="shared" si="7"/>
        <v>68</v>
      </c>
      <c r="AJ13" s="187">
        <f t="shared" si="7"/>
        <v>165</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6353</v>
      </c>
      <c r="AZ13" s="187">
        <f>SUBTOTAL(9,AZ8:AZ12)</f>
        <v>1062</v>
      </c>
      <c r="BA13" s="187">
        <f>SUBTOTAL(9,BA8:BA12)</f>
        <v>901</v>
      </c>
      <c r="BB13" s="187">
        <f>SUBTOTAL(9,BB8:BB12)</f>
        <v>6514</v>
      </c>
      <c r="BC13" s="187">
        <f>SUBTOTAL(9,BC8:BC12)</f>
        <v>263</v>
      </c>
      <c r="BD13" s="208">
        <f>IF(ISNUMBER(BA13/AZ13),BA13/AZ13," - ")</f>
        <v>0.84839924670433142</v>
      </c>
      <c r="BE13" s="209">
        <f>IF(ISNUMBER(BB13/BA13),BB13/BA13, " - ")</f>
        <v>7.2297447280799112</v>
      </c>
      <c r="BF13" s="209">
        <f>IF(ISNUMBER(BC13/BA13),BC13/BA13, " - ")</f>
        <v>0.29189789123196447</v>
      </c>
      <c r="BG13" s="210">
        <f>IF(ISNUMBER((AY13+AZ13)/BA13),(AY13+AZ13)/BA13," - ")</f>
        <v>8.2297447280799112</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4612</v>
      </c>
      <c r="J16" s="186">
        <v>1866</v>
      </c>
      <c r="K16" s="186">
        <v>1314</v>
      </c>
      <c r="L16" s="186">
        <v>5176</v>
      </c>
      <c r="M16" s="186">
        <v>251</v>
      </c>
      <c r="N16" s="186">
        <v>803</v>
      </c>
      <c r="O16" s="184">
        <v>14</v>
      </c>
      <c r="P16" s="186">
        <v>61</v>
      </c>
      <c r="Q16" s="186">
        <v>26</v>
      </c>
      <c r="R16" s="186">
        <v>311</v>
      </c>
      <c r="S16" s="186">
        <v>4232</v>
      </c>
      <c r="T16" s="186">
        <v>2015</v>
      </c>
      <c r="U16" s="186">
        <v>1833</v>
      </c>
      <c r="V16" s="186">
        <v>4262</v>
      </c>
      <c r="W16" s="186">
        <v>221</v>
      </c>
      <c r="X16" s="192">
        <v>1257</v>
      </c>
      <c r="Y16" s="205">
        <v>0</v>
      </c>
      <c r="Z16" s="186">
        <v>0</v>
      </c>
      <c r="AA16" s="186">
        <v>0</v>
      </c>
      <c r="AB16" s="186">
        <v>0</v>
      </c>
      <c r="AC16" s="186">
        <v>0</v>
      </c>
      <c r="AD16" s="186">
        <v>6</v>
      </c>
      <c r="AE16" s="186">
        <v>6</v>
      </c>
      <c r="AF16" s="192">
        <v>0</v>
      </c>
      <c r="AG16" s="205">
        <v>0</v>
      </c>
      <c r="AH16" s="186">
        <v>0</v>
      </c>
      <c r="AI16" s="186">
        <v>0</v>
      </c>
      <c r="AJ16" s="206">
        <v>0</v>
      </c>
      <c r="AK16" s="185">
        <v>1</v>
      </c>
      <c r="AL16" s="186">
        <v>24</v>
      </c>
      <c r="AM16" s="186">
        <v>23</v>
      </c>
      <c r="AN16" s="192">
        <v>2</v>
      </c>
      <c r="AO16" s="262">
        <v>6</v>
      </c>
      <c r="AP16" s="158">
        <v>6</v>
      </c>
      <c r="AQ16" s="158">
        <v>6</v>
      </c>
      <c r="AR16" s="158">
        <v>6</v>
      </c>
      <c r="AS16" s="343" t="s">
        <v>491</v>
      </c>
      <c r="AT16" s="206"/>
      <c r="AU16" s="205"/>
      <c r="AV16" s="206"/>
      <c r="AW16" s="205"/>
      <c r="AX16" s="206"/>
      <c r="AY16" s="126">
        <f t="shared" si="9"/>
        <v>4232</v>
      </c>
      <c r="AZ16" s="127">
        <f t="shared" si="9"/>
        <v>2015</v>
      </c>
      <c r="BA16" s="127">
        <f t="shared" si="9"/>
        <v>1833</v>
      </c>
      <c r="BB16" s="127">
        <f t="shared" si="9"/>
        <v>4262</v>
      </c>
      <c r="BC16" s="125">
        <f>IF(ISNUMBER(W16),W16," - ")</f>
        <v>221</v>
      </c>
      <c r="BD16" s="126">
        <f t="shared" ref="BD16" si="11">IF(ISNUMBER(BA16/AZ16),BA16/AZ16," - ")</f>
        <v>0.9096774193548387</v>
      </c>
      <c r="BE16" s="127">
        <f t="shared" ref="BE16" si="12">IF(ISNUMBER(BB16/BA16),BB16/BA16, " - ")</f>
        <v>2.325150027277687</v>
      </c>
      <c r="BF16" s="127">
        <f t="shared" ref="BF16" si="13">IF(ISNUMBER(BC16/BA16),BC16/BA16, " - ")</f>
        <v>0.12056737588652482</v>
      </c>
      <c r="BG16" s="199">
        <f t="shared" si="10"/>
        <v>3.4080741953082381</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338</v>
      </c>
      <c r="J17" s="186">
        <v>238</v>
      </c>
      <c r="K17" s="186">
        <v>335</v>
      </c>
      <c r="L17" s="186">
        <v>241</v>
      </c>
      <c r="M17" s="186">
        <v>37</v>
      </c>
      <c r="N17" s="186">
        <v>154</v>
      </c>
      <c r="O17" s="186">
        <v>0</v>
      </c>
      <c r="P17" s="186">
        <v>2</v>
      </c>
      <c r="Q17" s="186">
        <v>0</v>
      </c>
      <c r="R17" s="186">
        <v>10</v>
      </c>
      <c r="S17" s="186">
        <v>577</v>
      </c>
      <c r="T17" s="186">
        <v>236</v>
      </c>
      <c r="U17" s="186">
        <v>345</v>
      </c>
      <c r="V17" s="186">
        <v>468</v>
      </c>
      <c r="W17" s="186">
        <v>37</v>
      </c>
      <c r="X17" s="192">
        <v>235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577</v>
      </c>
      <c r="AZ17" s="129">
        <f t="shared" si="14"/>
        <v>236</v>
      </c>
      <c r="BA17" s="129">
        <f t="shared" si="14"/>
        <v>345</v>
      </c>
      <c r="BB17" s="129">
        <f t="shared" si="14"/>
        <v>468</v>
      </c>
      <c r="BC17" s="125">
        <f>IF(ISNUMBER(W17),W17," - ")</f>
        <v>37</v>
      </c>
      <c r="BD17" s="126">
        <f>IF(ISNUMBER(BA17/AZ17),BA17/AZ17," - ")</f>
        <v>1.4618644067796611</v>
      </c>
      <c r="BE17" s="127">
        <f>IF(ISNUMBER(BB17/BA17),BB17/BA17, " - ")</f>
        <v>1.3565217391304347</v>
      </c>
      <c r="BF17" s="127">
        <f>IF(ISNUMBER(BC17/BA17),BC17/BA17, " - ")</f>
        <v>0.1072463768115942</v>
      </c>
      <c r="BG17" s="199">
        <f>IF(ISNUMBER((AY17+AZ17)/BA17),(AY17+AZ17)/BA17," - ")</f>
        <v>2.3565217391304349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4950</v>
      </c>
      <c r="J18" s="187">
        <f t="shared" si="15"/>
        <v>2104</v>
      </c>
      <c r="K18" s="187">
        <f t="shared" si="15"/>
        <v>1649</v>
      </c>
      <c r="L18" s="187">
        <f t="shared" si="15"/>
        <v>5417</v>
      </c>
      <c r="M18" s="187">
        <f t="shared" si="15"/>
        <v>288</v>
      </c>
      <c r="N18" s="187">
        <f t="shared" si="15"/>
        <v>957</v>
      </c>
      <c r="O18" s="187">
        <f t="shared" si="15"/>
        <v>14</v>
      </c>
      <c r="P18" s="187">
        <f t="shared" si="15"/>
        <v>63</v>
      </c>
      <c r="Q18" s="187">
        <f t="shared" si="15"/>
        <v>26</v>
      </c>
      <c r="R18" s="187">
        <f t="shared" si="15"/>
        <v>321</v>
      </c>
      <c r="S18" s="187">
        <f t="shared" si="15"/>
        <v>4809</v>
      </c>
      <c r="T18" s="187">
        <f t="shared" si="15"/>
        <v>2251</v>
      </c>
      <c r="U18" s="187">
        <f t="shared" si="15"/>
        <v>2178</v>
      </c>
      <c r="V18" s="187">
        <f t="shared" si="15"/>
        <v>4730</v>
      </c>
      <c r="W18" s="187">
        <f t="shared" si="15"/>
        <v>258</v>
      </c>
      <c r="X18" s="187">
        <f t="shared" si="15"/>
        <v>1492</v>
      </c>
      <c r="Y18" s="187">
        <f t="shared" si="15"/>
        <v>0</v>
      </c>
      <c r="Z18" s="187">
        <f t="shared" si="15"/>
        <v>0</v>
      </c>
      <c r="AA18" s="187">
        <f t="shared" si="15"/>
        <v>0</v>
      </c>
      <c r="AB18" s="187">
        <f t="shared" si="15"/>
        <v>0</v>
      </c>
      <c r="AC18" s="187">
        <f t="shared" si="15"/>
        <v>0</v>
      </c>
      <c r="AD18" s="187">
        <f t="shared" si="15"/>
        <v>6</v>
      </c>
      <c r="AE18" s="187">
        <f t="shared" si="15"/>
        <v>6</v>
      </c>
      <c r="AF18" s="187">
        <f t="shared" si="15"/>
        <v>0</v>
      </c>
      <c r="AG18" s="187">
        <f t="shared" si="15"/>
        <v>0</v>
      </c>
      <c r="AH18" s="187">
        <f t="shared" si="15"/>
        <v>0</v>
      </c>
      <c r="AI18" s="187">
        <f t="shared" si="15"/>
        <v>0</v>
      </c>
      <c r="AJ18" s="187">
        <f t="shared" si="15"/>
        <v>0</v>
      </c>
      <c r="AK18" s="187">
        <f t="shared" si="15"/>
        <v>1</v>
      </c>
      <c r="AL18" s="187">
        <f t="shared" si="15"/>
        <v>24</v>
      </c>
      <c r="AM18" s="187">
        <f t="shared" si="15"/>
        <v>23</v>
      </c>
      <c r="AN18" s="187">
        <f t="shared" si="15"/>
        <v>2</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4809</v>
      </c>
      <c r="AZ18" s="187">
        <f>SUBTOTAL(9,AZ14:AZ17)</f>
        <v>2251</v>
      </c>
      <c r="BA18" s="187">
        <f>SUBTOTAL(9,BA14:BA17)</f>
        <v>2178</v>
      </c>
      <c r="BB18" s="187">
        <f>SUBTOTAL(9,BB14:BB17)</f>
        <v>4730</v>
      </c>
      <c r="BC18" s="187">
        <f>SUBTOTAL(9,BC14:BC17)</f>
        <v>258</v>
      </c>
      <c r="BD18" s="208">
        <f>IF(ISNUMBER(BA18/AZ18),BA18/AZ18," - ")</f>
        <v>0.96756996890270985</v>
      </c>
      <c r="BE18" s="209">
        <f>IF(ISNUMBER(BB18/BA18),BB18/BA18, " - ")</f>
        <v>2.1717171717171717</v>
      </c>
      <c r="BF18" s="209">
        <f>IF(ISNUMBER(BC18/BA18),BC18/BA18, " - ")</f>
        <v>0.1184573002754821</v>
      </c>
      <c r="BG18" s="210">
        <f>IF(ISNUMBER((AY18+AZ18)/BA18),(AY18+AZ18)/BA18," - ")</f>
        <v>3.241505968778696</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12419</v>
      </c>
      <c r="J19" s="134">
        <f t="shared" si="18"/>
        <v>3352</v>
      </c>
      <c r="K19" s="134">
        <f t="shared" si="18"/>
        <v>2543</v>
      </c>
      <c r="L19" s="134">
        <f t="shared" si="18"/>
        <v>13240</v>
      </c>
      <c r="M19" s="134">
        <f t="shared" si="18"/>
        <v>415</v>
      </c>
      <c r="N19" s="134">
        <f t="shared" si="18"/>
        <v>1260</v>
      </c>
      <c r="O19" s="134">
        <f t="shared" si="18"/>
        <v>566</v>
      </c>
      <c r="P19" s="134">
        <f t="shared" si="18"/>
        <v>306</v>
      </c>
      <c r="Q19" s="134">
        <f t="shared" si="18"/>
        <v>101</v>
      </c>
      <c r="R19" s="134">
        <f t="shared" si="18"/>
        <v>7813</v>
      </c>
      <c r="S19" s="134">
        <f t="shared" si="18"/>
        <v>10971</v>
      </c>
      <c r="T19" s="134">
        <f t="shared" si="18"/>
        <v>3271</v>
      </c>
      <c r="U19" s="134">
        <f t="shared" si="18"/>
        <v>3011</v>
      </c>
      <c r="V19" s="134">
        <f t="shared" si="18"/>
        <v>11079</v>
      </c>
      <c r="W19" s="134">
        <f t="shared" si="18"/>
        <v>425</v>
      </c>
      <c r="X19" s="134">
        <f t="shared" si="18"/>
        <v>1750</v>
      </c>
      <c r="Y19" s="134">
        <f t="shared" si="18"/>
        <v>144</v>
      </c>
      <c r="Z19" s="134">
        <f t="shared" si="18"/>
        <v>79</v>
      </c>
      <c r="AA19" s="134">
        <f t="shared" si="18"/>
        <v>33</v>
      </c>
      <c r="AB19" s="134">
        <f t="shared" si="18"/>
        <v>190</v>
      </c>
      <c r="AC19" s="134">
        <f t="shared" si="18"/>
        <v>0</v>
      </c>
      <c r="AD19" s="134">
        <f t="shared" si="18"/>
        <v>6</v>
      </c>
      <c r="AE19" s="134">
        <f t="shared" si="18"/>
        <v>6</v>
      </c>
      <c r="AF19" s="134">
        <f t="shared" si="18"/>
        <v>0</v>
      </c>
      <c r="AG19" s="134">
        <f t="shared" si="18"/>
        <v>191</v>
      </c>
      <c r="AH19" s="134">
        <f t="shared" si="18"/>
        <v>42</v>
      </c>
      <c r="AI19" s="134">
        <f t="shared" si="18"/>
        <v>68</v>
      </c>
      <c r="AJ19" s="134">
        <f t="shared" si="18"/>
        <v>165</v>
      </c>
      <c r="AK19" s="134">
        <f t="shared" si="18"/>
        <v>1</v>
      </c>
      <c r="AL19" s="134">
        <f t="shared" si="18"/>
        <v>24</v>
      </c>
      <c r="AM19" s="134">
        <f t="shared" si="18"/>
        <v>23</v>
      </c>
      <c r="AN19" s="213">
        <f t="shared" si="18"/>
        <v>2</v>
      </c>
      <c r="AO19" s="214">
        <v>7</v>
      </c>
      <c r="AP19" s="214">
        <v>6</v>
      </c>
      <c r="AQ19" s="214">
        <v>6</v>
      </c>
      <c r="AR19" s="214">
        <v>6</v>
      </c>
      <c r="AS19" s="156">
        <f t="shared" si="18"/>
        <v>0</v>
      </c>
      <c r="AT19" s="156">
        <f t="shared" si="18"/>
        <v>0</v>
      </c>
      <c r="AU19" s="214"/>
      <c r="AV19" s="215"/>
      <c r="AW19" s="214"/>
      <c r="AX19" s="215"/>
      <c r="AY19" s="133">
        <f>SUBTOTAL(9,AY9:AY18)</f>
        <v>11162</v>
      </c>
      <c r="AZ19" s="134">
        <f>SUBTOTAL(9,AZ9:AZ18)</f>
        <v>3313</v>
      </c>
      <c r="BA19" s="134">
        <f>SUBTOTAL(9,BA9:BA18)</f>
        <v>3079</v>
      </c>
      <c r="BB19" s="134">
        <f>SUBTOTAL(9,BB9:BB18)</f>
        <v>11244</v>
      </c>
      <c r="BC19" s="135">
        <f>SUBTOTAL(9,BC9:BC18)</f>
        <v>521</v>
      </c>
      <c r="BD19" s="216">
        <f>IF(ISNUMBER(BA19/AZ19),BA19/AZ19," - ")</f>
        <v>0.92936915182613944</v>
      </c>
      <c r="BE19" s="213">
        <f>IF(ISNUMBER(BB19/BA19),BB19/BA19, " - ")</f>
        <v>3.6518350113673272</v>
      </c>
      <c r="BF19" s="213">
        <f>IF(ISNUMBER(BC19/BA19),BC19/BA19, " - ")</f>
        <v>0.16921078272166287</v>
      </c>
      <c r="BG19" s="135">
        <f>IF(ISNUMBER((AY19+AZ19)/BA19),(AY19+AZ19)/BA19," - ")</f>
        <v>4.7012016888600199</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nmH4UhJEfEaoZq3xyvlQKvqZF1SJov72/5BGCarcF1nPBEU3rQtuSwvmAtgLqlR0l+BJu5nmBHx4wLUHsZpyQ==" saltValue="xOPiyeWg/kC7Er8iHHCjJ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ppVrGpoSl0FN+1xwC1gIj6D44KHmOwrSqeL6kPIrPFxMO9GMqPnFikfV3ey107/i2tAwMHo3lEfr2s+JkpZjA==" saltValue="J3LwYoc5mZsNC2+Qc1Smu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HUELVA  Resumenes por Partidos Judiciales  AYAMONTE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98</v>
      </c>
      <c r="G10" s="336">
        <f>IF(ISNUMBER(Datos!I10),Datos!I10," - ")</f>
        <v>98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17</v>
      </c>
      <c r="AC10" s="229">
        <f>IF(ISNUMBER(Datos!Q10),Datos!Q10," - ")</f>
        <v>0</v>
      </c>
      <c r="AD10" s="337"/>
      <c r="AE10" s="487"/>
      <c r="AF10" s="335">
        <f>IF(ISNUMBER(Datos!L10),Datos!L10,"-")</f>
        <v>105</v>
      </c>
      <c r="AG10" s="337"/>
      <c r="AH10" s="337"/>
      <c r="AI10" s="337"/>
      <c r="AJ10" s="337"/>
      <c r="AK10" s="337"/>
      <c r="AL10" s="482"/>
      <c r="AM10" s="338">
        <f>IF(ISNUMBER(Datos!R10),Datos!R10," - ")</f>
        <v>82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8</v>
      </c>
      <c r="BE10" s="232" t="str">
        <f>IF(ISNUMBER(Datos!BW10),Datos!BW10," - ")</f>
        <v xml:space="preserve"> - </v>
      </c>
      <c r="BF10" s="231" t="str">
        <f>IF(ISNUMBER(Datos!BX10),Datos!BX10," - ")</f>
        <v xml:space="preserve"> - </v>
      </c>
      <c r="BG10" s="246">
        <f>IF(ISNUMBER(Datos!K10/Datos!J10),Datos!K10/Datos!J10," - ")</f>
        <v>0.70833333333333337</v>
      </c>
      <c r="BH10" s="263">
        <f>IF(ISNUMBER(((Datos!L10/Datos!K10)*11)/factor_trimestre),((Datos!L10/Datos!K10)*11)/factor_trimestre," - ")</f>
        <v>18.52941176470588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3.7974683544303799E-2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6</v>
      </c>
      <c r="B12" s="510" t="s">
        <v>249</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79</v>
      </c>
      <c r="O12" s="337"/>
      <c r="P12" s="337"/>
      <c r="Q12" s="229">
        <f>IF(ISNUMBER(Datos!P12),Datos!P12,0)</f>
        <v>240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190</v>
      </c>
      <c r="AI12" s="337" t="str">
        <f>IF(ISNUMBER(Datos!CD12),Datos!CD12,"-")</f>
        <v>-</v>
      </c>
      <c r="AJ12" s="337" t="str">
        <f>IF(ISNUMBER(Datos!EN12),Datos!EN12," - ")</f>
        <v xml:space="preserve"> - </v>
      </c>
      <c r="AK12" s="337"/>
      <c r="AL12" s="482"/>
      <c r="AM12" s="338">
        <f>IF(ISNUMBER(Datos!R12),Datos!R12," - ")</f>
        <v>7410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122</v>
      </c>
      <c r="BD12" s="232">
        <f>IF(ISNUMBER(Datos!N12),Datos!N12," - ")</f>
        <v>295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0.69838833461243288</v>
      </c>
      <c r="BH12" s="263">
        <f>IF(ISNUMBER(((IF(J_V="SI",Datos!L12/Datos!K12,(Datos!L12+Datos!AB12)/(Datos!K12+Datos!AA12)))*11)/factor_trimestre),((IF(J_V="SI",Datos!L12/Datos!K12,(Datos!L12+Datos!AB12)/(Datos!K12+Datos!AA12)))*11)/factor_trimestre," - ")</f>
        <v>26.07032967032967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2.2774327122153208E-2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98</v>
      </c>
      <c r="G13" s="901">
        <f t="shared" si="0"/>
        <v>98</v>
      </c>
      <c r="H13" s="902">
        <f t="shared" si="0"/>
        <v>0</v>
      </c>
      <c r="I13" s="901">
        <f t="shared" si="0"/>
        <v>0</v>
      </c>
      <c r="J13" s="870">
        <f t="shared" si="0"/>
        <v>0</v>
      </c>
      <c r="K13" s="870">
        <f t="shared" si="0"/>
        <v>0</v>
      </c>
      <c r="L13" s="902">
        <f t="shared" si="0"/>
        <v>0</v>
      </c>
      <c r="M13" s="902">
        <f t="shared" si="0"/>
        <v>0</v>
      </c>
      <c r="N13" s="902">
        <f t="shared" si="0"/>
        <v>79</v>
      </c>
      <c r="O13" s="903">
        <f t="shared" si="0"/>
        <v>0</v>
      </c>
      <c r="P13" s="903">
        <f t="shared" si="0"/>
        <v>0</v>
      </c>
      <c r="Q13" s="902">
        <f t="shared" si="0"/>
        <v>243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17</v>
      </c>
      <c r="AC13" s="902">
        <f t="shared" si="1"/>
        <v>75</v>
      </c>
      <c r="AD13" s="902">
        <f t="shared" si="1"/>
        <v>0</v>
      </c>
      <c r="AE13" s="902">
        <f t="shared" si="1"/>
        <v>0</v>
      </c>
      <c r="AF13" s="902">
        <f t="shared" si="1"/>
        <v>105</v>
      </c>
      <c r="AG13" s="902">
        <f t="shared" si="1"/>
        <v>0</v>
      </c>
      <c r="AH13" s="902">
        <f t="shared" si="1"/>
        <v>190</v>
      </c>
      <c r="AI13" s="902">
        <f t="shared" si="1"/>
        <v>0</v>
      </c>
      <c r="AJ13" s="902">
        <f t="shared" si="1"/>
        <v>0</v>
      </c>
      <c r="AK13" s="902">
        <f t="shared" si="1"/>
        <v>0</v>
      </c>
      <c r="AL13" s="902">
        <f t="shared" si="1"/>
        <v>0</v>
      </c>
      <c r="AM13" s="902">
        <f t="shared" si="1"/>
        <v>7492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127</v>
      </c>
      <c r="BD13" s="902">
        <f t="shared" si="1"/>
        <v>303</v>
      </c>
      <c r="BE13" s="902">
        <f t="shared" si="1"/>
        <v>0</v>
      </c>
      <c r="BF13" s="902">
        <f t="shared" si="1"/>
        <v>0</v>
      </c>
      <c r="BG13" s="902">
        <f>IF(ISNUMBER(Datos!K13/Datos!J13),Datos!K13/Datos!J13," - ")</f>
        <v>0.71634615384615385</v>
      </c>
      <c r="BH13" s="906">
        <f>IF(ISNUMBER(((Datos!L13/Datos!K13)*11)/factor_trimestre),((Datos!L13/Datos!K13)*11)/factor_trimestre," - ")</f>
        <v>26.251677852348994</v>
      </c>
      <c r="BI13" s="902">
        <f>IF(ISNUMBER('Resol  Asuntos'!D13/NºAsuntos!G13),'Resol  Asuntos'!D13/NºAsuntos!G13," - ")</f>
        <v>0.13700107874865156</v>
      </c>
      <c r="BJ13" s="902" t="str">
        <f>IF(ISNUMBER(Datos!CI13/Datos!CJ13),Datos!CI13/Datos!CJ13," - ")</f>
        <v xml:space="preserve"> - </v>
      </c>
      <c r="BK13" s="902">
        <f>SUBTOTAL(9,BK8:BK12)</f>
        <v>0</v>
      </c>
      <c r="BL13" s="902">
        <f>IF(ISNUMBER((I13-AB13+L13)/(F13)),(I13-AB13+L13)/(F13)," - ")</f>
        <v>-0.17346938775510204</v>
      </c>
      <c r="BM13" s="907">
        <f>SUBTOTAL(9,BM9:BM12)</f>
        <v>6.0749010666457007E-2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6</v>
      </c>
      <c r="B16" s="597" t="s">
        <v>400</v>
      </c>
      <c r="C16" s="603" t="str">
        <f>Datos!A16</f>
        <v xml:space="preserve">Jdos. 1ª Instª. e Instr.                        </v>
      </c>
      <c r="D16" s="604"/>
      <c r="E16" s="1168">
        <f>IF(ISNUMBER(Datos!AQ16),Datos!AQ16," - ")</f>
        <v>6</v>
      </c>
      <c r="F16" s="598">
        <f>IF(ISNUMBER(AF16+AB16-Datos!J16-L16),AF16+AB16-Datos!J16-L16," - ")</f>
        <v>4624</v>
      </c>
      <c r="G16" s="601">
        <f>IF(ISNUMBER(IF(D_I="SI",Datos!I16,Datos!I16+Datos!AC16)),IF(D_I="SI",Datos!I16,Datos!I16+Datos!AC16)," - ")</f>
        <v>4612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1314</v>
      </c>
      <c r="AC16" s="229">
        <f>IF(ISNUMBER(Datos!Q16),Datos!Q16," - ")</f>
        <v>26</v>
      </c>
      <c r="AD16" s="337"/>
      <c r="AE16" s="487"/>
      <c r="AF16" s="599">
        <f>IF(ISNUMBER(IF(D_I="SI",Datos!L16,Datos!L16+Datos!AF16)),IF(D_I="SI",Datos!L16,Datos!L16+Datos!AF16)," - ")</f>
        <v>5176</v>
      </c>
      <c r="AG16" s="337"/>
      <c r="AH16" s="337"/>
      <c r="AI16" s="337"/>
      <c r="AJ16" s="337"/>
      <c r="AK16" s="337"/>
      <c r="AL16" s="482"/>
      <c r="AM16" s="338">
        <f>IF(ISNUMBER(Datos!R16),Datos!R16," - ")</f>
        <v>311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251</v>
      </c>
      <c r="BD16" s="232">
        <f>IF(ISNUMBER(Datos!N16),Datos!N16," - ")</f>
        <v>803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0.70418006430868163</v>
      </c>
      <c r="BH16" s="263">
        <f>IF(ISNUMBER(((IF(D_I="SI",Datos!L16/Datos!K16,(Datos!L16+Datos!AF16)/(Datos!K16+Datos!AE16)))*11)/factor_trimestre),((IF(D_I="SI",Datos!L16/Datos!K16,(Datos!L16+Datos!AF16)/(Datos!K16+Datos!AE16)))*11)/factor_trimestre," - ")</f>
        <v>11.817351598173516</v>
      </c>
      <c r="BI16" s="246">
        <f>IF(ISNUMBER('Resol  Asuntos'!D16/NºAsuntos!G16),'Resol  Asuntos'!D16/NºAsuntos!G16," - ")</f>
        <v>0.19101978691019786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338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335</v>
      </c>
      <c r="AC17" s="229">
        <f>IF(ISNUMBER(Datos!Q17),Datos!Q17," - ")</f>
        <v>0</v>
      </c>
      <c r="AD17" s="337"/>
      <c r="AE17" s="487"/>
      <c r="AF17" s="335">
        <f>IF(ISNUMBER(Datos!L17),Datos!L17,"-")</f>
        <v>241</v>
      </c>
      <c r="AG17" s="337"/>
      <c r="AH17" s="337"/>
      <c r="AI17" s="337"/>
      <c r="AJ17" s="337"/>
      <c r="AK17" s="337"/>
      <c r="AL17" s="482"/>
      <c r="AM17" s="338">
        <f>IF(ISNUMBER(Datos!R17),Datos!R17," - ")</f>
        <v>10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37</v>
      </c>
      <c r="BD17" s="232">
        <f>IF(ISNUMBER(Datos!N17),Datos!N17," - ")</f>
        <v>154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1.4075630252100841</v>
      </c>
      <c r="BH17" s="263">
        <f>IF(ISNUMBER(((IF(D_I="SI",Datos!L17/Datos!K17,(Datos!L17+Datos!AF17)/(Datos!K17+Datos!AE17)))*11)/factor_trimestre),((IF(D_I="SI",Datos!L17/Datos!K17,(Datos!L17+Datos!AF17)/(Datos!K17+Datos!AE17)))*11)/factor_trimestre," - ")</f>
        <v>2.1582089552238806</v>
      </c>
      <c r="BI17" s="246">
        <f>IF(ISNUMBER('Resol  Asuntos'!D17/NºAsuntos!G17),'Resol  Asuntos'!D17/NºAsuntos!G17," - ")</f>
        <v>0.11044776119402985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4624</v>
      </c>
      <c r="G18" s="901">
        <f>SUBTOTAL(9,G15:G17)</f>
        <v>4950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1649</v>
      </c>
      <c r="AC18" s="902">
        <f t="shared" si="4"/>
        <v>26</v>
      </c>
      <c r="AD18" s="902">
        <f t="shared" si="4"/>
        <v>0</v>
      </c>
      <c r="AE18" s="902">
        <f t="shared" si="4"/>
        <v>0</v>
      </c>
      <c r="AF18" s="902">
        <f t="shared" si="4"/>
        <v>5417</v>
      </c>
      <c r="AG18" s="902">
        <f t="shared" si="4"/>
        <v>0</v>
      </c>
      <c r="AH18" s="902">
        <f t="shared" si="4"/>
        <v>0</v>
      </c>
      <c r="AI18" s="902">
        <f t="shared" si="4"/>
        <v>0</v>
      </c>
      <c r="AJ18" s="902">
        <f t="shared" si="4"/>
        <v>0</v>
      </c>
      <c r="AK18" s="902">
        <f t="shared" si="4"/>
        <v>0</v>
      </c>
      <c r="AL18" s="902">
        <f t="shared" si="4"/>
        <v>0</v>
      </c>
      <c r="AM18" s="902">
        <f t="shared" si="4"/>
        <v>321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288</v>
      </c>
      <c r="BD18" s="902">
        <f t="shared" si="4"/>
        <v>957</v>
      </c>
      <c r="BE18" s="902">
        <f t="shared" si="4"/>
        <v>0</v>
      </c>
      <c r="BF18" s="902">
        <f t="shared" si="4"/>
        <v>0</v>
      </c>
      <c r="BG18" s="902">
        <f>IF(ISNUMBER(Datos!K18/Datos!J18),Datos!K18/Datos!J18," - ")</f>
        <v>0.78374524714828897</v>
      </c>
      <c r="BH18" s="906">
        <f>IF(ISNUMBER(((Datos!L18/Datos!K18)*11)/factor_trimestre),((Datos!L18/Datos!K18)*11)/factor_trimestre," - ")</f>
        <v>9.8550636749545166</v>
      </c>
      <c r="BI18" s="902">
        <f>SUBTOTAL(9,BI15:BI17)</f>
        <v>0.30146754810422771</v>
      </c>
      <c r="BJ18" s="902">
        <f>SUBTOTAL(9,BJ15:BJ17)</f>
        <v>0</v>
      </c>
      <c r="BK18" s="902">
        <f>SUBTOTAL(9,BK15:BK17)</f>
        <v>0</v>
      </c>
      <c r="BL18" s="902">
        <f>IF(ISNUMBER((I18-AB18+L18)/(F18)),(I18-AB18+L18)/(F18)," - ")</f>
        <v>-0.35661764705882354</v>
      </c>
      <c r="BM18" s="908">
        <f>IF(ISNUMBER((Datos!P18-Datos!Q18)/(Datos!R18-Datos!P18+Datos!Q18)),(Datos!P18-Datos!Q18)/(Datos!R18-Datos!P18+Datos!Q18)," - ")</f>
        <v>0.13028169014084506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12</v>
      </c>
      <c r="F19" s="823">
        <f t="shared" si="6"/>
        <v>4722</v>
      </c>
      <c r="G19" s="823">
        <f t="shared" si="6"/>
        <v>5048</v>
      </c>
      <c r="H19" s="825">
        <f t="shared" si="6"/>
        <v>0</v>
      </c>
      <c r="I19" s="823">
        <f t="shared" si="6"/>
        <v>0</v>
      </c>
      <c r="J19" s="825">
        <f t="shared" si="6"/>
        <v>0</v>
      </c>
      <c r="K19" s="825">
        <f t="shared" si="6"/>
        <v>0</v>
      </c>
      <c r="L19" s="884">
        <f t="shared" si="6"/>
        <v>0</v>
      </c>
      <c r="M19" s="884">
        <f t="shared" si="6"/>
        <v>0</v>
      </c>
      <c r="N19" s="884">
        <f t="shared" si="6"/>
        <v>79</v>
      </c>
      <c r="O19" s="884">
        <f t="shared" si="6"/>
        <v>0</v>
      </c>
      <c r="P19" s="884">
        <f t="shared" si="6"/>
        <v>0</v>
      </c>
      <c r="Q19" s="825">
        <f t="shared" si="6"/>
        <v>306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1666</v>
      </c>
      <c r="AC19" s="824">
        <f t="shared" si="7"/>
        <v>101</v>
      </c>
      <c r="AD19" s="824">
        <f t="shared" si="7"/>
        <v>0</v>
      </c>
      <c r="AE19" s="824">
        <f t="shared" si="7"/>
        <v>0</v>
      </c>
      <c r="AF19" s="831">
        <f t="shared" si="7"/>
        <v>5522</v>
      </c>
      <c r="AG19" s="831">
        <f t="shared" si="7"/>
        <v>0</v>
      </c>
      <c r="AH19" s="831">
        <f t="shared" si="7"/>
        <v>190</v>
      </c>
      <c r="AI19" s="831">
        <f t="shared" si="7"/>
        <v>0</v>
      </c>
      <c r="AJ19" s="824">
        <f t="shared" si="7"/>
        <v>0</v>
      </c>
      <c r="AK19" s="831">
        <f t="shared" si="7"/>
        <v>0</v>
      </c>
      <c r="AL19" s="831">
        <f t="shared" si="7"/>
        <v>0</v>
      </c>
      <c r="AM19" s="831">
        <f t="shared" si="7"/>
        <v>7813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415</v>
      </c>
      <c r="BD19" s="823">
        <f t="shared" si="7"/>
        <v>1260</v>
      </c>
      <c r="BE19" s="823">
        <f t="shared" si="7"/>
        <v>0</v>
      </c>
      <c r="BF19" s="833">
        <f t="shared" si="7"/>
        <v>0</v>
      </c>
      <c r="BG19" s="918">
        <f>IF(ISNUMBER(Datos!K19/Datos!J19),Datos!K19/Datos!J19," - ")</f>
        <v>0.75865155131264916</v>
      </c>
      <c r="BH19" s="918">
        <f>IF(ISNUMBER(((Datos!L19/Datos!K19)*11)/factor_trimestre),((Datos!L19/Datos!K19)*11)/factor_trimestre," - ")</f>
        <v>15.619347227683839</v>
      </c>
      <c r="BI19" s="816">
        <f>IF(ISNUMBER(Datos!J19/Datos!I19),Datos!J19/Datos!I19," - ")</f>
        <v>0.26990901038730974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-0.35281660313426516</v>
      </c>
      <c r="BM19" s="892">
        <f>IF(ISNUMBER((Datos!P19-Datos!Q19+R19)/(Datos!R19-Datos!P19+Datos!Q19-R19)),(Datos!P19-Datos!Q19+R19)/(Datos!R19-Datos!P19+Datos!Q19-R19)," - ")</f>
        <v>2.6945320715036802E-2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2019.2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3.1622776601683795</v>
      </c>
      <c r="F21" s="554">
        <f>IF(ISNUMBER(STDEV(F8:F18)),STDEV(F8:F18),"-")</f>
        <v>2613.0873183522463</v>
      </c>
      <c r="G21" s="555">
        <f>IF(ISNUMBER(STDEV(G8:G18)),STDEV(G8:G18),"-")</f>
        <v>2525.89849360579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764.55137172069738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112.72562559891458</v>
      </c>
      <c r="BD21" s="554"/>
      <c r="BE21" s="554">
        <f>IF(ISNUMBER(STDEV(BE8:BE18)),STDEV(BE8:BE18),"-")</f>
        <v>0</v>
      </c>
      <c r="BF21" s="559">
        <f>IF(ISNUMBER(STDEV(BF8:BF18)),STDEV(BF8:BF18),"-")</f>
        <v>0</v>
      </c>
      <c r="BG21" s="778">
        <f>IF(ISNUMBER(STDEV(BG8:BG18)),STDEV(BG8:BG18),"-")</f>
        <v>0.28154681620131139</v>
      </c>
      <c r="BH21" s="779">
        <f>IF(ISNUMBER(STDEV(BH8:BH18)),STDEV(BH8:BH18),"-")</f>
        <v>9.5861027555856921</v>
      </c>
      <c r="BI21" s="252">
        <f>IF(ISNUMBER(STDEV(BI8:BI18)),STDEV(BI8:BI18),"-")</f>
        <v>8.4583015099016445E-2</v>
      </c>
      <c r="BJ21" s="233" t="str">
        <f>IF(ISNUMBER(BL21/BM21),BL21/BM21," - ")</f>
        <v xml:space="preserve"> - </v>
      </c>
      <c r="BK21" s="578"/>
      <c r="BL21" s="562">
        <f>IF(ISNUMBER(STDEV(BL8:BL18)),STDEV(BL8:BL18),"-")</f>
        <v>0.12950537611617352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kFld3Bwa5rfk1MtcHhFGBBIsxWR8vUID/neCaFsn7D8BW9QVQMhglnJshDL7Kiq6mkrQBglA+IvAMTtcKqKm3A==" saltValue="SLzLm6+FSLnEHg0ZAUKK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HUELVA  Resumenes por Partidos Judiciales  AYAMONTE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98</v>
      </c>
      <c r="G10" s="228">
        <f>IF(ISNUMBER(Datos!I10),Datos!I10," - ")</f>
        <v>98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17</v>
      </c>
      <c r="Z10" s="622">
        <f>IF(ISNUMBER(Datos!Q10),Datos!Q10," - ")</f>
        <v>0</v>
      </c>
      <c r="AA10" s="335">
        <f>IF(ISNUMBER(Datos!L10),Datos!L10,"-")</f>
        <v>105</v>
      </c>
      <c r="AB10" s="337"/>
      <c r="AC10" s="337"/>
      <c r="AD10" s="487"/>
      <c r="AE10" s="487">
        <f>IF(ISNUMBER(Datos!R10),Datos!R10," - ")</f>
        <v>82</v>
      </c>
      <c r="AF10" s="232" t="str">
        <f>IF(ISNUMBER(Datos!BV10),Datos!BV10," - ")</f>
        <v xml:space="preserve"> - </v>
      </c>
      <c r="AG10" s="228" t="str">
        <f>IF(ISNUMBER(Datos!DV10),Datos!DV10," - ")</f>
        <v xml:space="preserve"> - </v>
      </c>
      <c r="AH10" s="301"/>
      <c r="AI10" s="230"/>
      <c r="AJ10" s="228">
        <f>IF(ISNUMBER(Datos!M10),Datos!M10," - ")</f>
        <v>5</v>
      </c>
      <c r="AK10" s="232">
        <f>IF(ISNUMBER(Datos!N10),Datos!N10," - ")</f>
        <v>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18.52941176470588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3.7974683544303799E-2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6</v>
      </c>
      <c r="B12" s="510" t="s">
        <v>249</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240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75</v>
      </c>
      <c r="AA12" s="335" t="str">
        <f>IF(ISNUMBER(IF(J_V="SI",Datos!L12,Datos!L12+Datos!AB12)-IF(Monitorios="SI",Datos!CD12,0)),
                          IF(J_V="SI",Datos!L12,Datos!L12+Datos!AB12)-IF(Monitorios="SI",Datos!CD12,0),
                          " - ")</f>
        <v xml:space="preserve"> - </v>
      </c>
      <c r="AB12" s="337"/>
      <c r="AC12" s="337"/>
      <c r="AD12" s="487"/>
      <c r="AE12" s="487">
        <f>IF(ISNUMBER(Datos!R12),Datos!R12," - ")</f>
        <v>7410</v>
      </c>
      <c r="AF12" s="232" t="str">
        <f>IF(ISNUMBER(Datos!BV12),Datos!BV12," - ")</f>
        <v xml:space="preserve"> - </v>
      </c>
      <c r="AG12" s="228" t="str">
        <f>IF(ISNUMBER(Datos!DV12),Datos!DV12," - ")</f>
        <v xml:space="preserve"> - </v>
      </c>
      <c r="AH12" s="301"/>
      <c r="AI12" s="230"/>
      <c r="AJ12" s="228">
        <f>IF(ISNUMBER(Datos!M12),Datos!M12," - ")</f>
        <v>122</v>
      </c>
      <c r="AK12" s="232">
        <f>IF(ISNUMBER(Datos!N12),Datos!N12," - ")</f>
        <v>295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26.07032967032967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2.2774327122153208E-2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98</v>
      </c>
      <c r="G13" s="901">
        <f>SUBTOTAL(9,G8:G12)</f>
        <v>98</v>
      </c>
      <c r="H13" s="911"/>
      <c r="I13" s="901">
        <f t="shared" ref="I13:N13" si="0">SUBTOTAL(9,I8:I12)</f>
        <v>0</v>
      </c>
      <c r="J13" s="870">
        <f t="shared" si="0"/>
        <v>0</v>
      </c>
      <c r="K13" s="911">
        <f t="shared" si="0"/>
        <v>0</v>
      </c>
      <c r="L13" s="911">
        <f t="shared" si="0"/>
        <v>0</v>
      </c>
      <c r="M13" s="911">
        <f t="shared" si="0"/>
        <v>0</v>
      </c>
      <c r="N13" s="911">
        <f t="shared" si="0"/>
        <v>243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17</v>
      </c>
      <c r="Z13" s="910">
        <f t="shared" si="2"/>
        <v>75</v>
      </c>
      <c r="AA13" s="903">
        <f t="shared" si="2"/>
        <v>105</v>
      </c>
      <c r="AB13" s="903">
        <f t="shared" si="2"/>
        <v>0</v>
      </c>
      <c r="AC13" s="903">
        <f t="shared" si="2"/>
        <v>0</v>
      </c>
      <c r="AD13" s="903">
        <f t="shared" si="2"/>
        <v>0</v>
      </c>
      <c r="AE13" s="903">
        <f t="shared" si="2"/>
        <v>7492</v>
      </c>
      <c r="AF13" s="911">
        <f t="shared" si="2"/>
        <v>0</v>
      </c>
      <c r="AG13" s="911">
        <f t="shared" si="2"/>
        <v>0</v>
      </c>
      <c r="AH13" s="911">
        <f t="shared" si="2"/>
        <v>0</v>
      </c>
      <c r="AI13" s="911">
        <f t="shared" si="2"/>
        <v>0</v>
      </c>
      <c r="AJ13" s="911">
        <f t="shared" si="2"/>
        <v>127</v>
      </c>
      <c r="AK13" s="911">
        <f t="shared" si="2"/>
        <v>303</v>
      </c>
      <c r="AL13" s="911">
        <f t="shared" si="2"/>
        <v>0</v>
      </c>
      <c r="AM13" s="911">
        <f t="shared" si="2"/>
        <v>0</v>
      </c>
      <c r="AN13" s="911">
        <f t="shared" si="2"/>
        <v>0</v>
      </c>
      <c r="AO13" s="907">
        <f>IF(ISNUMBER(((NºAsuntos!I13/NºAsuntos!G13)*11)/factor_trimestre),((NºAsuntos!I13/NºAsuntos!G13)*11)/factor_trimestre," - ")</f>
        <v>25.932038834951459</v>
      </c>
      <c r="AP13" s="913" t="str">
        <f>IF(ISNUMBER(Datos!CI13/Datos!CJ13),Datos!CI13/Datos!CJ13," - ")</f>
        <v xml:space="preserve"> - </v>
      </c>
      <c r="AQ13" s="931">
        <f t="shared" ref="AQ13:AV13" si="3">SUBTOTAL(9,AQ9:AQ12)</f>
        <v>0</v>
      </c>
      <c r="AR13" s="931">
        <f t="shared" si="3"/>
        <v>6.0749010666457007E-2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6</v>
      </c>
      <c r="B16" s="510" t="s">
        <v>400</v>
      </c>
      <c r="C16" s="163" t="str">
        <f>Datos!A16</f>
        <v xml:space="preserve">Jdos. 1ª Instª. e Instr.                        </v>
      </c>
      <c r="D16" s="505"/>
      <c r="E16" s="1171">
        <f>IF(ISNUMBER(Datos!AQ16),Datos!AQ16," - ")</f>
        <v>6</v>
      </c>
      <c r="F16" s="336">
        <f>IF(ISNUMBER(AA16+Y16-Datos!J16-K15),AA16+Y16-Datos!J16-K15," - ")</f>
        <v>4624</v>
      </c>
      <c r="G16" s="228">
        <f>IF(ISNUMBER(IF(D_I="SI",Datos!I16,Datos!I16+Datos!AC16)),IF(D_I="SI",Datos!I16,Datos!I16+Datos!AC16)," - ")</f>
        <v>4612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1314</v>
      </c>
      <c r="Z16" s="622">
        <f>IF(ISNUMBER(Datos!Q16),Datos!Q16," - ")</f>
        <v>26</v>
      </c>
      <c r="AA16" s="335">
        <f>IF(ISNUMBER(IF(D_I="SI",Datos!L16,Datos!L16+Datos!AF16)),IF(D_I="SI",Datos!L16,Datos!L16+Datos!AF16)," - ")</f>
        <v>5176</v>
      </c>
      <c r="AB16" s="337"/>
      <c r="AC16" s="337"/>
      <c r="AD16" s="487"/>
      <c r="AE16" s="487">
        <f>IF(ISNUMBER(Datos!R16),Datos!R16," - ")</f>
        <v>311</v>
      </c>
      <c r="AF16" s="232" t="str">
        <f>IF(ISNUMBER(Datos!BV16),Datos!BV16," - ")</f>
        <v xml:space="preserve"> - </v>
      </c>
      <c r="AG16" s="228"/>
      <c r="AH16" s="301"/>
      <c r="AI16" s="230"/>
      <c r="AJ16" s="228">
        <f>IF(ISNUMBER(Datos!M16),Datos!M16," - ")</f>
        <v>251</v>
      </c>
      <c r="AK16" s="232">
        <f>IF(ISNUMBER(Datos!N16),Datos!N16," - ")</f>
        <v>803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11.817351598173516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338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335</v>
      </c>
      <c r="Z17" s="622">
        <f>IF(ISNUMBER(Datos!Q17),Datos!Q17," - ")</f>
        <v>0</v>
      </c>
      <c r="AA17" s="335">
        <f>IF(ISNUMBER(Datos!L17),Datos!L17,"-")</f>
        <v>241</v>
      </c>
      <c r="AB17" s="337"/>
      <c r="AC17" s="337"/>
      <c r="AD17" s="487"/>
      <c r="AE17" s="487">
        <f>IF(ISNUMBER(Datos!R17),Datos!R17," - ")</f>
        <v>10</v>
      </c>
      <c r="AF17" s="232" t="str">
        <f>IF(ISNUMBER(Datos!BV17),Datos!BV17," - ")</f>
        <v xml:space="preserve"> - </v>
      </c>
      <c r="AG17" s="228" t="str">
        <f>IF(ISNUMBER(Datos!DV17),Datos!DV17," - ")</f>
        <v xml:space="preserve"> - </v>
      </c>
      <c r="AH17" s="301"/>
      <c r="AI17" s="230"/>
      <c r="AJ17" s="228">
        <f>IF(ISNUMBER(Datos!M17),Datos!M17," - ")</f>
        <v>37</v>
      </c>
      <c r="AK17" s="232">
        <f>IF(ISNUMBER(Datos!N17),Datos!N17," - ")</f>
        <v>154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2.1582089552238806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4624</v>
      </c>
      <c r="G18" s="901">
        <f>SUBTOTAL(9,G15:G17)</f>
        <v>4950</v>
      </c>
      <c r="H18" s="935">
        <f>SUBTOTAL(9,H15:H17)</f>
        <v>0</v>
      </c>
      <c r="I18" s="914">
        <f>SUBTOTAL(9,I15:I17)</f>
        <v>0</v>
      </c>
      <c r="J18" s="870">
        <f>SUBTOTAL(9,J14:J17)</f>
        <v>0</v>
      </c>
      <c r="K18" s="935">
        <f t="shared" ref="K18:S18" si="4">SUBTOTAL(9,K15:K17)</f>
        <v>0</v>
      </c>
      <c r="L18" s="935">
        <f t="shared" si="4"/>
        <v>0</v>
      </c>
      <c r="M18" s="935">
        <f t="shared" si="4"/>
        <v>0</v>
      </c>
      <c r="N18" s="935">
        <f t="shared" si="4"/>
        <v>63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1649</v>
      </c>
      <c r="Z18" s="935">
        <f t="shared" si="5"/>
        <v>26</v>
      </c>
      <c r="AA18" s="935">
        <f t="shared" si="5"/>
        <v>5417</v>
      </c>
      <c r="AB18" s="935">
        <f t="shared" si="5"/>
        <v>0</v>
      </c>
      <c r="AC18" s="935">
        <f t="shared" si="5"/>
        <v>0</v>
      </c>
      <c r="AD18" s="935">
        <f t="shared" si="5"/>
        <v>0</v>
      </c>
      <c r="AE18" s="935">
        <f t="shared" si="5"/>
        <v>321</v>
      </c>
      <c r="AF18" s="935">
        <f t="shared" si="5"/>
        <v>0</v>
      </c>
      <c r="AG18" s="935">
        <f t="shared" si="5"/>
        <v>0</v>
      </c>
      <c r="AH18" s="935">
        <f t="shared" si="5"/>
        <v>0</v>
      </c>
      <c r="AI18" s="935">
        <f t="shared" si="5"/>
        <v>0</v>
      </c>
      <c r="AJ18" s="935">
        <f t="shared" si="5"/>
        <v>288</v>
      </c>
      <c r="AK18" s="935">
        <f t="shared" si="5"/>
        <v>957</v>
      </c>
      <c r="AL18" s="935">
        <f t="shared" si="5"/>
        <v>0</v>
      </c>
      <c r="AM18" s="935">
        <f t="shared" si="5"/>
        <v>0</v>
      </c>
      <c r="AN18" s="935">
        <f t="shared" si="5"/>
        <v>0</v>
      </c>
      <c r="AO18" s="937">
        <f>IF(ISNUMBER(((NºAsuntos!I18/NºAsuntos!G18)*11)/factor_trimestre),((NºAsuntos!I18/NºAsuntos!G18)*11)/factor_trimestre," - ")</f>
        <v>9.8550636749545166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4722</v>
      </c>
      <c r="G19" s="823">
        <f t="shared" si="7"/>
        <v>5048</v>
      </c>
      <c r="H19" s="824">
        <f t="shared" si="7"/>
        <v>0</v>
      </c>
      <c r="I19" s="823">
        <f t="shared" si="7"/>
        <v>0</v>
      </c>
      <c r="J19" s="825">
        <f t="shared" si="7"/>
        <v>0</v>
      </c>
      <c r="K19" s="823">
        <f t="shared" si="7"/>
        <v>0</v>
      </c>
      <c r="L19" s="826">
        <f t="shared" si="7"/>
        <v>0</v>
      </c>
      <c r="M19" s="823">
        <f t="shared" si="7"/>
        <v>0</v>
      </c>
      <c r="N19" s="824">
        <f t="shared" si="7"/>
        <v>306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1666</v>
      </c>
      <c r="Z19" s="830">
        <f t="shared" si="8"/>
        <v>101</v>
      </c>
      <c r="AA19" s="831">
        <f t="shared" si="8"/>
        <v>5522</v>
      </c>
      <c r="AB19" s="831">
        <f t="shared" si="8"/>
        <v>0</v>
      </c>
      <c r="AC19" s="831">
        <f t="shared" si="8"/>
        <v>0</v>
      </c>
      <c r="AD19" s="832">
        <f t="shared" si="8"/>
        <v>0</v>
      </c>
      <c r="AE19" s="832">
        <f t="shared" si="8"/>
        <v>7813</v>
      </c>
      <c r="AF19" s="833">
        <f t="shared" si="8"/>
        <v>0</v>
      </c>
      <c r="AG19" s="834">
        <f t="shared" si="8"/>
        <v>0</v>
      </c>
      <c r="AH19" s="835">
        <f t="shared" si="8"/>
        <v>0</v>
      </c>
      <c r="AI19" s="833">
        <f t="shared" si="8"/>
        <v>0</v>
      </c>
      <c r="AJ19" s="823">
        <f t="shared" si="8"/>
        <v>415</v>
      </c>
      <c r="AK19" s="823">
        <f t="shared" si="8"/>
        <v>1260</v>
      </c>
      <c r="AL19" s="823">
        <f t="shared" si="8"/>
        <v>0</v>
      </c>
      <c r="AM19" s="836">
        <f t="shared" si="8"/>
        <v>0</v>
      </c>
      <c r="AN19" s="826">
        <f>IF(ISNUMBER(Datos!K19/Datos!J19),Datos!K19/Datos!J19," - ")</f>
        <v>0.75865155131264916</v>
      </c>
      <c r="AO19" s="826">
        <f>IF(ISNUMBER(FIND("06",Criterios!A8,1)),(IF(ISNUMBER(((Datos!R19/Datos!Q19)*11)/factor_trimestre),((Datos!R19/Datos!Q19)*11)/factor_trimestre," - ")),(IF(ISNUMBER(((Datos!L19/Datos!K19)*11)/factor_trimestre),((Datos!L19/Datos!K19)*11)/factor_trimestre," - ")))</f>
        <v>15.619347227683839</v>
      </c>
      <c r="AP19" s="837" t="str">
        <f>IF(ISNUMBER(Datos!CI19/Datos!CJ19),Datos!CI19/Datos!CJ19," - ")</f>
        <v xml:space="preserve"> - </v>
      </c>
      <c r="AQ19" s="837">
        <f>IF(OR(ISNUMBER(FIND("01",Criterios!A8,1)),ISNUMBER(FIND("02",Criterios!A8,1)),ISNUMBER(FIND("03",Criterios!A8,1)),ISNUMBER(FIND("04",Criterios!A8,1))),(J19-Y19+K19)/(F19-K19),(I19-Y19+K19)/(F19-K19))</f>
        <v>-0.35281660313426516</v>
      </c>
      <c r="AR19" s="837">
        <f>IF(ISNUMBER((Datos!P19-Datos!Q19+O19)/(Datos!R19-Datos!P19+Datos!Q19-O19)),(Datos!P19-Datos!Q19+O19)/(Datos!R19-Datos!P19+Datos!Q19-O19)," - ")</f>
        <v>2.6945320715036802E-2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2019.2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2613.0873183522463</v>
      </c>
      <c r="G21" s="555">
        <f>IF(ISNUMBER(STDEV(G8:G18)),STDEV(G8:G18),"-")</f>
        <v>2525.89849360579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112.72562559891458</v>
      </c>
      <c r="AK21" s="255"/>
      <c r="AL21" s="255">
        <f>IF(ISNUMBER(STDEV(AL8:AL18)),STDEV(AL8:AL18),"-")</f>
        <v>0</v>
      </c>
      <c r="AM21" s="257">
        <f>IF(ISNUMBER(STDEV(AM8:AM18)),STDEV(AM8:AM18),"-")</f>
        <v>0</v>
      </c>
      <c r="AN21" s="542">
        <f>IF(ISNUMBER(STDEV(AN8:AN18)),STDEV(AN8:AN18),"-")</f>
        <v>0</v>
      </c>
      <c r="AO21" s="543">
        <f>IF(ISNUMBER(STDEV(AO8:AO18)),STDEV(AO8:AO18),"-")</f>
        <v>9.5169099524138741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H5tX8QnKePELNb7Kqds/Kae0dorzBPqHRIdA94D2Z813rRkmf2y83uVpsO96Km/lcB8VkieXNuwdM3qjanGyFQ==" saltValue="zvSKCHWCLc4ztkE/NECT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Z+tBjUSkjF8mrw01MMxym+nvAK3fcAvJkQHNXB1PmKrplT+ZpqKsgukmqSMJccAHVo8KgR069pLdDrmNpqJ/Xw==" saltValue="aSZmmigGk4ZCXloGfbvw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zN0HxwNwvclncrkuXq+3ZfTwbeApyueEiEMujkaiVuK73Ef59i0Uj2CiBC2tuZgfNmRFafhCPR9u7T8d5kJ7A==" saltValue="sHaUFlMsO7q2q8nokwSG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HUELVA  Resumenes por Partidos Judiciales  AYAMONTE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0.13700107874865156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9.687439181304372E-2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9TqX7JBmm05vuG1gXdo0XQ4F6L0/jYUcUzyqu4eC5m8/BFQmByV9MnRDHghC7y0+/7Hwqi45aTEo/bZsAXhMfg==" saltValue="2y5MwQgOMVMCxL8iCCLE7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c8Dp1JYcNUJZteIM2XNdT3IKys6rw4sM2sOUcL3BNU+OAmoee6ImhmdWv8lfmeHCjB1+l0x7gl5R8jovFQ//LA==" saltValue="mYSI+x+Ne5mQ6CpIf1hG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HUELVA</v>
      </c>
      <c r="D3" s="378"/>
      <c r="E3" s="378"/>
      <c r="F3" s="378"/>
    </row>
    <row r="4" spans="1:14" ht="13.5" thickBot="1">
      <c r="A4" s="378"/>
      <c r="B4" s="394" t="str">
        <f>Criterios!A11 &amp;"  "&amp;Criterios!B11</f>
        <v>Resumenes por Partidos Judiciales  AYAMONTE</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98</v>
      </c>
      <c r="D10" s="407">
        <f>IF(ISNUMBER(C10/Datos!BH10),C10/Datos!BH10," - ")</f>
        <v>98</v>
      </c>
      <c r="E10" s="406">
        <f>IF(ISNUMBER(Datos!J10),Datos!J10," - ")</f>
        <v>24</v>
      </c>
      <c r="F10" s="407">
        <f>IF(ISNUMBER(E10/B10),E10/B10," - ")</f>
        <v>24</v>
      </c>
      <c r="G10" s="406">
        <f>IF(ISNUMBER(Datos!K10),Datos!K10," - ")</f>
        <v>17</v>
      </c>
      <c r="H10" s="407">
        <f>IF(ISNUMBER(G10/B10),G10/B10," - ")</f>
        <v>17</v>
      </c>
      <c r="I10" s="406">
        <f>IF(ISNUMBER(Datos!L10),Datos!L10," - ")</f>
        <v>105</v>
      </c>
      <c r="J10" s="407">
        <f>IF(ISNUMBER(I10/B10),I10/B10," - ")</f>
        <v>105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7515</v>
      </c>
      <c r="D12" s="407">
        <f>IF(ISNUMBER(C12/Datos!BH12),C12/Datos!BH12," - ")</f>
        <v>1503</v>
      </c>
      <c r="E12" s="406">
        <f>IF(ISNUMBER(IF(J_V="SI",Datos!J12,Datos!J12+Datos!Z12)),IF(J_V="SI",Datos!J12,Datos!J12+Datos!Z12)," - ")</f>
        <v>1303</v>
      </c>
      <c r="F12" s="407">
        <f>IF(ISNUMBER(E12/B12),E12/B12," - ")</f>
        <v>217.16666666666666</v>
      </c>
      <c r="G12" s="406">
        <f>IF(ISNUMBER(IF(J_V="SI",Datos!K12,Datos!K12+Datos!AA12)),IF(J_V="SI",Datos!K12,Datos!K12+Datos!AA12)," - ")</f>
        <v>910</v>
      </c>
      <c r="H12" s="407">
        <f>IF(ISNUMBER(G12/B12),G12/B12," - ")</f>
        <v>151.66666666666666</v>
      </c>
      <c r="I12" s="406">
        <f>IF(ISNUMBER(IF(J_V="SI",Datos!L12,Datos!L12+Datos!AB12)),IF(J_V="SI",Datos!L12,Datos!L12+Datos!AB12)," - ")</f>
        <v>7908</v>
      </c>
      <c r="J12" s="407">
        <f>IF(ISNUMBER(I12/B12),I12/B12," - ")</f>
        <v>1318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7613</v>
      </c>
      <c r="D13" s="853" t="str">
        <f>IF(ISNUMBER(C13/Datos!BI13),C13/Datos!BI13," - ")</f>
        <v xml:space="preserve"> - </v>
      </c>
      <c r="E13" s="852">
        <f>SUBTOTAL(9,E8:E12)</f>
        <v>1327</v>
      </c>
      <c r="F13" s="853">
        <f>IF(ISNUMBER(E13/B13),E13/B13," - ")</f>
        <v>221.16666666666666</v>
      </c>
      <c r="G13" s="852">
        <f>SUBTOTAL(9,G8:G12)</f>
        <v>927</v>
      </c>
      <c r="H13" s="853">
        <f>IF(ISNUMBER(G13/B13),G13/B13," - ")</f>
        <v>154.5</v>
      </c>
      <c r="I13" s="852">
        <f>SUBTOTAL(9,I8:I12)</f>
        <v>8013</v>
      </c>
      <c r="J13" s="853">
        <f>IF(ISNUMBER(I13/B13),I13/B13," - ")</f>
        <v>1335.5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4612</v>
      </c>
      <c r="D16" s="407">
        <f>IF(ISNUMBER(C16/Datos!BH16),C16/Datos!BH16," - ")</f>
        <v>922.4</v>
      </c>
      <c r="E16" s="406">
        <f>IF(ISNUMBER(IF(D_I="SI",Datos!J16,Datos!J16+Datos!AD16)),IF(D_I="SI",Datos!J16,Datos!J16+Datos!AD16)," - ")</f>
        <v>1866</v>
      </c>
      <c r="F16" s="407">
        <f>IF(ISNUMBER(E16/B16),E16/B16," - ")</f>
        <v>311</v>
      </c>
      <c r="G16" s="406">
        <f>IF(ISNUMBER(IF(D_I="SI",Datos!K16,Datos!K16+Datos!AE16)),IF(D_I="SI",Datos!K16,Datos!K16+Datos!AE16)," - ")</f>
        <v>1314</v>
      </c>
      <c r="H16" s="407">
        <f>IF(ISNUMBER(G16/B16),G16/B16," - ")</f>
        <v>219</v>
      </c>
      <c r="I16" s="406">
        <f>IF(ISNUMBER(IF(D_I="SI",Datos!L16,Datos!L16+Datos!AF16)),IF(D_I="SI",Datos!L16,Datos!L16+Datos!AF16)," - ")</f>
        <v>5176</v>
      </c>
      <c r="J16" s="407">
        <f>IF(ISNUMBER(I16/B16),I16/B16," - ")</f>
        <v>862.66666666666663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338</v>
      </c>
      <c r="D17" s="407">
        <f>IF(ISNUMBER(C17/Datos!BH17),C17/Datos!BH17," - ")</f>
        <v>338</v>
      </c>
      <c r="E17" s="406">
        <f>IF(ISNUMBER(IF(D_I="SI",Datos!J17,Datos!J17+Datos!AD17)),IF(D_I="SI",Datos!J17,Datos!J17+Datos!AD17)," - ")</f>
        <v>238</v>
      </c>
      <c r="F17" s="407">
        <f>IF(ISNUMBER(E17/B17),E17/B17," - ")</f>
        <v>238</v>
      </c>
      <c r="G17" s="406">
        <f>IF(ISNUMBER(IF(D_I="SI",Datos!K17,Datos!K17+Datos!AE17)),IF(D_I="SI",Datos!K17,Datos!K17+Datos!AE17)," - ")</f>
        <v>335</v>
      </c>
      <c r="H17" s="407">
        <f>IF(ISNUMBER(G17/B17),G17/B17," - ")</f>
        <v>335</v>
      </c>
      <c r="I17" s="406">
        <f>IF(ISNUMBER(IF(D_I="SI",Datos!L17,Datos!L17+Datos!AF17)),IF(D_I="SI",Datos!L17,Datos!L17+Datos!AF17)," - ")</f>
        <v>241</v>
      </c>
      <c r="J17" s="407">
        <f>IF(ISNUMBER(I17/B17),I17/B17," - ")</f>
        <v>241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4950</v>
      </c>
      <c r="D18" s="853" t="str">
        <f>IF(ISNUMBER(C18/Datos!BI18),C18/Datos!BI18," - ")</f>
        <v xml:space="preserve"> - </v>
      </c>
      <c r="E18" s="852">
        <f>SUBTOTAL(9,E14:E17)</f>
        <v>2104</v>
      </c>
      <c r="F18" s="853">
        <f>IF(ISNUMBER(E18/B18),E18/B18," - ")</f>
        <v>350.66666666666669</v>
      </c>
      <c r="G18" s="852">
        <f>SUBTOTAL(9,G14:G17)</f>
        <v>1649</v>
      </c>
      <c r="H18" s="853">
        <f>IF(ISNUMBER(G18/B18),G18/B18," - ")</f>
        <v>274.83333333333331</v>
      </c>
      <c r="I18" s="852">
        <f>SUBTOTAL(9,I14:I17)</f>
        <v>5417</v>
      </c>
      <c r="J18" s="853">
        <f>IF(ISNUMBER(I18/B18),I18/B18," - ")</f>
        <v>902.83333333333337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12563</v>
      </c>
      <c r="D19" s="798" t="str">
        <f>IF(ISNUMBER(C19/Datos!BI19),C19/Datos!BI19," - ")</f>
        <v xml:space="preserve"> - </v>
      </c>
      <c r="E19" s="797">
        <f>SUBTOTAL(9,E9:E18)</f>
        <v>3431</v>
      </c>
      <c r="F19" s="798">
        <f>IF(ISNUMBER(E19/B19),E19/B19," - ")</f>
        <v>571.83333333333337</v>
      </c>
      <c r="G19" s="797">
        <f>SUBTOTAL(9,G9:G18)</f>
        <v>2576</v>
      </c>
      <c r="H19" s="798">
        <f>IF(ISNUMBER(G19/B19),G19/B19," - ")</f>
        <v>429.33333333333331</v>
      </c>
      <c r="I19" s="797">
        <f>SUBTOTAL(9,I9:I18)</f>
        <v>13430</v>
      </c>
      <c r="J19" s="798">
        <f>IF(ISNUMBER(I19/B19),I19/B19," - ")</f>
        <v>2238.3333333333335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bVLGR4id44CD1VhG1MIFLnxzvLI/QDjlJ1kSg82xl8ETJBUbQjCdXk4N/zAepmPLOdWk8H+QhQglM1swRoR17A==" saltValue="ej/StepQMtNfPGfGqqA19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HUELVA  Resumenes por Partidos Judiciales  AYAMONTE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98</v>
      </c>
      <c r="G10" s="687">
        <f>IF(ISNUMBER(Datos!I10),Datos!I10," - ")</f>
        <v>98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17</v>
      </c>
      <c r="AC10" s="686" t="str">
        <f>IF(ISNUMBER(IF(D_I="SI",DatosP!K17,DatosP!K17+DatosP!AE17)),IF(D_I="SI",DatosP!K17,DatosP!K17+DatosP!AE17)," - ")</f>
        <v xml:space="preserve"> - </v>
      </c>
      <c r="AD10" s="688"/>
      <c r="AE10" s="688"/>
      <c r="AF10" s="691">
        <f>IF(ISNUMBER(Datos!L10),Datos!L10,"-")</f>
        <v>105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8</v>
      </c>
      <c r="AN10" s="693">
        <f>IF(ISNUMBER(Datos!BW10+DatosP!BW17),Datos!BW10+DatosP!BW17," - ")</f>
        <v>0</v>
      </c>
      <c r="AO10" s="694">
        <f>IF(ISNUMBER(Datos!BX10+DatosP!BX17),Datos!BX10+DatosP!BX17," - ")</f>
        <v>0</v>
      </c>
      <c r="AP10" s="696">
        <f>IF(ISNUMBER(((Datos!L10/Datos!K10)*11)/factor_trimestre),((Datos!L10/Datos!K10)*11)/factor_trimestre," - ")</f>
        <v>18.52941176470588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249</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240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7410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122</v>
      </c>
      <c r="AM12" s="693">
        <f>IF(ISNUMBER(Datos!N12+DatosP!N16),Datos!N12+DatosP!N16," - ")</f>
        <v>295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26.07032967032967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2.2774327122153208E-2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98</v>
      </c>
      <c r="G13" s="941">
        <f t="shared" si="0"/>
        <v>98</v>
      </c>
      <c r="H13" s="941">
        <f t="shared" si="0"/>
        <v>0</v>
      </c>
      <c r="I13" s="943">
        <f t="shared" si="0"/>
        <v>0</v>
      </c>
      <c r="J13" s="942">
        <f t="shared" si="0"/>
        <v>0</v>
      </c>
      <c r="K13" s="942">
        <f t="shared" si="0"/>
        <v>0</v>
      </c>
      <c r="L13" s="944">
        <f t="shared" si="0"/>
        <v>0</v>
      </c>
      <c r="M13" s="944">
        <f t="shared" si="0"/>
        <v>0</v>
      </c>
      <c r="N13" s="942">
        <f t="shared" si="0"/>
        <v>243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17</v>
      </c>
      <c r="AC13" s="942">
        <f t="shared" si="1"/>
        <v>0</v>
      </c>
      <c r="AD13" s="942">
        <f t="shared" si="1"/>
        <v>75</v>
      </c>
      <c r="AE13" s="942">
        <f t="shared" si="1"/>
        <v>0</v>
      </c>
      <c r="AF13" s="942">
        <f t="shared" si="1"/>
        <v>105</v>
      </c>
      <c r="AG13" s="942">
        <f t="shared" si="1"/>
        <v>0</v>
      </c>
      <c r="AH13" s="942">
        <f t="shared" si="1"/>
        <v>7410</v>
      </c>
      <c r="AI13" s="942">
        <f t="shared" si="1"/>
        <v>0</v>
      </c>
      <c r="AJ13" s="942">
        <f t="shared" si="1"/>
        <v>0</v>
      </c>
      <c r="AK13" s="942">
        <f t="shared" si="1"/>
        <v>0</v>
      </c>
      <c r="AL13" s="942">
        <f t="shared" si="1"/>
        <v>127</v>
      </c>
      <c r="AM13" s="942">
        <f t="shared" si="1"/>
        <v>303</v>
      </c>
      <c r="AN13" s="942">
        <f t="shared" si="1"/>
        <v>0</v>
      </c>
      <c r="AO13" s="942">
        <f t="shared" si="1"/>
        <v>0</v>
      </c>
      <c r="AP13" s="947">
        <f>IF(ISNUMBER(((Datos!L13/Datos!K13)*11)/factor_trimestre),((Datos!L13/Datos!K13)*11)/factor_trimestre," - ")</f>
        <v>26.251677852348994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-0.17346938775510204</v>
      </c>
      <c r="AU13" s="942" t="str">
        <f>IF(ISNUMBER((DatosP!#REF!-DatosP!#REF!+DatosP!#REF!)/(DatosP!#REF!+DatosP!#REF!-DatosP!#REF!-DatosP!#REF!)),(DatosP!#REF!-DatosP!#REF!+DatosP!#REF!)/(DatosP!#REF!+DatosP!#REF!-DatosP!#REF!-DatosP!#REF!)," - ")</f>
        <v xml:space="preserve"> - </v>
      </c>
      <c r="AV13" s="948">
        <f>SUBTOTAL(9,AV9:AV12)</f>
        <v>2.2774327122153208E-2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9.8550636749545166</v>
      </c>
      <c r="AQ18" s="947">
        <f>IF(ISNUMBER(((Datos!M18/Datos!L18)*11)/factor_trimestre),((Datos!M18/Datos!L18)*11)/factor_trimestre," - ")</f>
        <v>0.15949787705371979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0.13028169014084506</v>
      </c>
      <c r="AW18" s="949">
        <f>IF(ISNUMBER((Datos!Q18-Datos!R18)/(Datos!S18-Datos!Q18+Datos!R18)),(Datos!Q18-Datos!R18)/(Datos!S18-Datos!Q18+Datos!R18)," - ")</f>
        <v>-5.7797805642633232E-2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98</v>
      </c>
      <c r="G19" s="954">
        <f t="shared" si="4"/>
        <v>98</v>
      </c>
      <c r="H19" s="954">
        <f t="shared" si="4"/>
        <v>0</v>
      </c>
      <c r="I19" s="955">
        <f t="shared" si="4"/>
        <v>0</v>
      </c>
      <c r="J19" s="956">
        <f t="shared" si="4"/>
        <v>0</v>
      </c>
      <c r="K19" s="956">
        <f t="shared" si="4"/>
        <v>0</v>
      </c>
      <c r="L19" s="956">
        <f t="shared" si="4"/>
        <v>0</v>
      </c>
      <c r="M19" s="956">
        <f t="shared" si="4"/>
        <v>0</v>
      </c>
      <c r="N19" s="955">
        <f t="shared" si="4"/>
        <v>243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17</v>
      </c>
      <c r="AC19" s="960">
        <f t="shared" si="5"/>
        <v>0</v>
      </c>
      <c r="AD19" s="960">
        <f t="shared" si="5"/>
        <v>75</v>
      </c>
      <c r="AE19" s="960">
        <f t="shared" si="5"/>
        <v>0</v>
      </c>
      <c r="AF19" s="961">
        <f t="shared" si="5"/>
        <v>105</v>
      </c>
      <c r="AG19" s="961">
        <f t="shared" si="5"/>
        <v>0</v>
      </c>
      <c r="AH19" s="961">
        <f t="shared" si="5"/>
        <v>7410</v>
      </c>
      <c r="AI19" s="961">
        <f t="shared" si="5"/>
        <v>0</v>
      </c>
      <c r="AJ19" s="962">
        <f t="shared" si="5"/>
        <v>0</v>
      </c>
      <c r="AK19" s="962">
        <f t="shared" si="5"/>
        <v>0</v>
      </c>
      <c r="AL19" s="954">
        <f t="shared" si="5"/>
        <v>127</v>
      </c>
      <c r="AM19" s="954">
        <f t="shared" si="5"/>
        <v>303</v>
      </c>
      <c r="AN19" s="954">
        <f t="shared" si="5"/>
        <v>0</v>
      </c>
      <c r="AO19" s="954">
        <f t="shared" si="5"/>
        <v>0</v>
      </c>
      <c r="AP19" s="954">
        <f>IF(ISNUMBER(((Datos!L19/Datos!K19)*11)/factor_trimestre),((Datos!L19/Datos!K19)*11)/factor_trimestre," - ")</f>
        <v>15.619347227683839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-0.17346938775510204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2.6945320715036802E-2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65.333333333333329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3.0983866769659336</v>
      </c>
      <c r="F21" s="739">
        <f>IF(ISNUMBER(STDEV(F8:F18)),STDEV(F8:F18),"-")</f>
        <v>56.580326380583323</v>
      </c>
      <c r="G21" s="740">
        <f>IF(ISNUMBER(STDEV(G8:G18)),STDEV(G8:G18),"-")</f>
        <v>56.580326380583323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9.8149545762236379</v>
      </c>
      <c r="AC21" s="741">
        <f>IF(ISNUMBER(STDEV(AC8:AC18)),STDEV(AC8:AC18),"-")</f>
        <v>0</v>
      </c>
      <c r="AD21" s="744"/>
      <c r="AE21" s="744"/>
      <c r="AF21" s="744"/>
      <c r="AG21" s="744"/>
      <c r="AH21" s="744"/>
      <c r="AI21" s="744"/>
      <c r="AJ21" s="745">
        <f>IF(ISNUMBER(STDEV(AJ8:AJ18)),STDEV(AJ8:AJ18),"-")</f>
        <v>0</v>
      </c>
      <c r="AK21" s="747"/>
      <c r="AL21" s="739">
        <f>IF(ISNUMBER(STDEV(AL8:AL18)),STDEV(AL8:AL18),"-")</f>
        <v>70.495862762765498</v>
      </c>
      <c r="AM21" s="739"/>
      <c r="AN21" s="739">
        <f>IF(ISNUMBER(STDEV(AN8:AN18)),STDEV(AN8:AN18),"-")</f>
        <v>0</v>
      </c>
      <c r="AO21" s="745">
        <f>IF(ISNUMBER(STDEV(AO8:AO18)),STDEV(AO8:AO18),"-")</f>
        <v>0</v>
      </c>
      <c r="AP21" s="782">
        <f>IF(ISNUMBER(STDEV(AP8:AP18)),STDEV(AP8:AP18),"-")</f>
        <v>7.7650920048000609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GjLfRMlTaAOxnHp91uH6OhU76jvSuA+OWm9h4PQ3CuFwfQyQQxN+5qdQgxOTPd2I5EOqzwQ+SBaa9e/ATCk/Uw==" saltValue="u0sIvC2ujgGdNCywq6V84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HUELVA</v>
      </c>
      <c r="C3" s="418"/>
      <c r="F3" s="378"/>
      <c r="G3" s="378"/>
      <c r="H3" s="378"/>
    </row>
    <row r="4" spans="1:15" ht="13.5" thickBot="1">
      <c r="A4" s="378"/>
      <c r="B4" s="394" t="str">
        <f>Criterios!A11 &amp;"  "&amp;Criterios!B11</f>
        <v>Resumenes por Partidos Judiciales  AYAMONTE</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1.2</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1.2</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ygojXr41bA2KHveb8CqBzyxkDwcwrM8TGeyDCMxwfwT4GOxiv4cVOFTgGI37dpowIlWd91m+JURnFUcOMXu1Kw==" saltValue="fSZHsHfvrSP3fShF0Z19t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HUELVA</v>
      </c>
      <c r="C3" s="394"/>
      <c r="D3" s="428"/>
    </row>
    <row r="4" spans="1:9" ht="13.5" thickBot="1">
      <c r="B4" s="394" t="str">
        <f>Criterios!A11 &amp;"  "&amp;Criterios!B11</f>
        <v>Resumenes por Partidos Judiciales  AYAMONTE</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8</v>
      </c>
      <c r="G10" s="407">
        <f>IF(ISNUMBER(F10/B10),F10/B10," - ")</f>
        <v>8</v>
      </c>
      <c r="H10" s="406">
        <f>IF(ISNUMBER(Datos!O10),Datos!O10," - ")</f>
        <v>4</v>
      </c>
      <c r="I10" s="407">
        <f t="shared" ref="I10:I12" si="2">IF(ISNUMBER(H10/B10),H10/B10," - ")</f>
        <v>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122</v>
      </c>
      <c r="E12" s="407">
        <f t="shared" si="0"/>
        <v>20.333333333333332</v>
      </c>
      <c r="F12" s="406">
        <f>IF(ISNUMBER(Datos!N12),Datos!N12," - ")</f>
        <v>295</v>
      </c>
      <c r="G12" s="407">
        <f t="shared" si="1"/>
        <v>49.166666666666664</v>
      </c>
      <c r="H12" s="406">
        <f>IF(ISNUMBER(Datos!O12),Datos!O12," - ")</f>
        <v>548</v>
      </c>
      <c r="I12" s="407">
        <f t="shared" si="2"/>
        <v>91.333333333333329</v>
      </c>
    </row>
    <row r="13" spans="1:9" ht="14.25" thickTop="1" thickBot="1">
      <c r="A13" s="851" t="str">
        <f>Datos!A13</f>
        <v>TOTAL</v>
      </c>
      <c r="B13" s="852">
        <f>Datos!AO13</f>
        <v>7</v>
      </c>
      <c r="C13" s="854">
        <f>Datos!AR13</f>
        <v>6</v>
      </c>
      <c r="D13" s="852">
        <f>SUBTOTAL(9,D9:D12)</f>
        <v>127</v>
      </c>
      <c r="E13" s="853">
        <f t="shared" si="0"/>
        <v>18.142857142857142</v>
      </c>
      <c r="F13" s="852">
        <f>SUBTOTAL(9,F9:F12)</f>
        <v>303</v>
      </c>
      <c r="G13" s="853">
        <f t="shared" si="1"/>
        <v>43.285714285714285</v>
      </c>
      <c r="H13" s="852">
        <f>SUBTOTAL(9,H9:H12)</f>
        <v>552</v>
      </c>
      <c r="I13" s="853">
        <f>IF(ISNUMBER(H13/B13),H13/B13," - ")</f>
        <v>78.857142857142861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251</v>
      </c>
      <c r="E16" s="407">
        <f t="shared" si="3"/>
        <v>41.833333333333336</v>
      </c>
      <c r="F16" s="406">
        <f>IF(ISNUMBER(Datos!N16),Datos!N16," - ")</f>
        <v>803</v>
      </c>
      <c r="G16" s="407">
        <f t="shared" si="4"/>
        <v>133.83333333333334</v>
      </c>
      <c r="H16" s="406">
        <f>IF(ISNUMBER(Datos!O16),Datos!O16," - ")</f>
        <v>14</v>
      </c>
      <c r="I16" s="407">
        <f t="shared" si="5"/>
        <v>2.3333333333333335</v>
      </c>
    </row>
    <row r="17" spans="1:9" ht="13.5" thickBot="1">
      <c r="A17" s="405" t="str">
        <f>Datos!A17</f>
        <v>Jdos. Violencia contra la mujer</v>
      </c>
      <c r="B17" s="430">
        <f>Datos!AO17</f>
        <v>1</v>
      </c>
      <c r="C17" s="431">
        <f>Datos!AQ17</f>
        <v>0</v>
      </c>
      <c r="D17" s="406">
        <f>IF(ISNUMBER(Datos!M17),Datos!M17," - ")</f>
        <v>37</v>
      </c>
      <c r="E17" s="407">
        <f>IF(ISNUMBER(D17/B17),D17/B17," - ")</f>
        <v>37</v>
      </c>
      <c r="F17" s="406">
        <f>IF(ISNUMBER(Datos!N17),Datos!N17," - ")</f>
        <v>154</v>
      </c>
      <c r="G17" s="407">
        <f>IF(ISNUMBER(F17/B17),F17/B17," - ")</f>
        <v>154</v>
      </c>
      <c r="H17" s="406">
        <f>IF(ISNUMBER(Datos!O17),Datos!O17," - ")</f>
        <v>0</v>
      </c>
      <c r="I17" s="407">
        <f t="shared" si="5"/>
        <v>0</v>
      </c>
    </row>
    <row r="18" spans="1:9" ht="14.25" thickTop="1" thickBot="1">
      <c r="A18" s="851" t="str">
        <f>Datos!A18</f>
        <v>TOTAL</v>
      </c>
      <c r="B18" s="852">
        <f>Datos!AO18</f>
        <v>7</v>
      </c>
      <c r="C18" s="854">
        <f>Datos!AR18</f>
        <v>6</v>
      </c>
      <c r="D18" s="852">
        <f>SUBTOTAL(9,D15:D17)</f>
        <v>288</v>
      </c>
      <c r="E18" s="853">
        <f t="shared" si="3"/>
        <v>41.142857142857146</v>
      </c>
      <c r="F18" s="852">
        <f>SUBTOTAL(9,F15:F17)</f>
        <v>957</v>
      </c>
      <c r="G18" s="853">
        <f t="shared" si="4"/>
        <v>136.71428571428572</v>
      </c>
      <c r="H18" s="852">
        <f>SUBTOTAL(9,H15:H17)</f>
        <v>14</v>
      </c>
      <c r="I18" s="853">
        <f>IF(ISNUMBER(H18/B18),H18/B18," - ")</f>
        <v>2</v>
      </c>
    </row>
    <row r="19" spans="1:9" ht="14.25" thickTop="1" thickBot="1">
      <c r="A19" s="796" t="str">
        <f>Datos!A19</f>
        <v>TOTAL JURISDICCIONES</v>
      </c>
      <c r="B19" s="797">
        <f>Datos!AP19</f>
        <v>6</v>
      </c>
      <c r="C19" s="797">
        <f>Datos!AR19</f>
        <v>6</v>
      </c>
      <c r="D19" s="797">
        <f>SUBTOTAL(9,D8:D18)</f>
        <v>415</v>
      </c>
      <c r="E19" s="798">
        <f>IF(ISNUMBER(D19/B19),D19/B19," - ")</f>
        <v>69.166666666666671</v>
      </c>
      <c r="F19" s="797">
        <f>SUBTOTAL(9,F8:F18)</f>
        <v>1260</v>
      </c>
      <c r="G19" s="798">
        <f>IF(ISNUMBER(F19/B19),F19/B19," - ")</f>
        <v>210</v>
      </c>
      <c r="H19" s="797">
        <f>SUBTOTAL(9,H8:H18)</f>
        <v>566</v>
      </c>
      <c r="I19" s="798">
        <f>IF(ISNUMBER(H19/B19),H19/B19," - ")</f>
        <v>94.333333333333329</v>
      </c>
    </row>
    <row r="22" spans="1:9">
      <c r="A22" s="394" t="str">
        <f>Criterios!A4</f>
        <v>Fecha Informe: 07 mar. 2024</v>
      </c>
    </row>
    <row r="27" spans="1:9">
      <c r="A27" s="417"/>
    </row>
  </sheetData>
  <sheetProtection algorithmName="SHA-512" hashValue="Ly2cFv5Jtrh2KM3MpDae2iJDAQkBw5kh36zb11g40URupYIbuI+yzpDlp7ZlKrCb3YpXzHY+nTig9nDZ8IcN+w==" saltValue="hBvjxDBKrss9lVezKBT+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HUELVA</v>
      </c>
    </row>
    <row r="4" spans="1:4" ht="13.5" thickBot="1">
      <c r="B4" s="394" t="str">
        <f>Criterios!A11 &amp;"  "&amp;Criterios!B11</f>
        <v>Resumenes por Partidos Judiciales  AYAMONTE</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0</v>
      </c>
      <c r="D10" s="411">
        <f>IF(ISNUMBER(Datos!R10),Datos!R10," - ")</f>
        <v>82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240</v>
      </c>
      <c r="C12" s="437">
        <f>IF(ISNUMBER(Datos!Q12),Datos!Q12," - ")</f>
        <v>75</v>
      </c>
      <c r="D12" s="411">
        <f>IF(ISNUMBER(Datos!R12),Datos!R12," - ")</f>
        <v>7410</v>
      </c>
    </row>
    <row r="13" spans="1:4" ht="14.25" thickTop="1" thickBot="1">
      <c r="A13" s="851" t="str">
        <f>Datos!A13</f>
        <v>TOTAL</v>
      </c>
      <c r="B13" s="852">
        <f>SUBTOTAL(9,B9:B12)</f>
        <v>243</v>
      </c>
      <c r="C13" s="856">
        <f>SUBTOTAL(9,C9:C12)</f>
        <v>75</v>
      </c>
      <c r="D13" s="854">
        <f>SUBTOTAL(9,D9:D12)</f>
        <v>7492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61</v>
      </c>
      <c r="C16" s="437">
        <f>IF(ISNUMBER(Datos!Q16),Datos!Q16," - ")</f>
        <v>26</v>
      </c>
      <c r="D16" s="411">
        <f>IF(ISNUMBER(Datos!R16),Datos!R16," - ")</f>
        <v>311</v>
      </c>
    </row>
    <row r="17" spans="1:4" ht="13.5" thickBot="1">
      <c r="A17" s="405" t="str">
        <f>Datos!A17</f>
        <v>Jdos. Violencia contra la mujer</v>
      </c>
      <c r="B17" s="436">
        <f>IF(ISNUMBER(Datos!P17),Datos!P17," - ")</f>
        <v>2</v>
      </c>
      <c r="C17" s="437">
        <f>IF(ISNUMBER(Datos!Q17),Datos!Q17," - ")</f>
        <v>0</v>
      </c>
      <c r="D17" s="411">
        <f>IF(ISNUMBER(Datos!R17),Datos!R17," - ")</f>
        <v>10</v>
      </c>
    </row>
    <row r="18" spans="1:4" ht="14.25" thickTop="1" thickBot="1">
      <c r="A18" s="851" t="str">
        <f>Datos!A18</f>
        <v>TOTAL</v>
      </c>
      <c r="B18" s="852">
        <f>SUBTOTAL(9,B15:B17)</f>
        <v>63</v>
      </c>
      <c r="C18" s="856">
        <f>SUBTOTAL(9,C15:C17)</f>
        <v>26</v>
      </c>
      <c r="D18" s="854">
        <f>SUBTOTAL(9,D15:D17)</f>
        <v>321</v>
      </c>
    </row>
    <row r="19" spans="1:4" ht="16.5" customHeight="1" thickTop="1" thickBot="1">
      <c r="A19" s="796" t="str">
        <f>Datos!A19</f>
        <v>TOTAL JURISDICCIONES</v>
      </c>
      <c r="B19" s="801">
        <f>SUBTOTAL(9,B8:B18)</f>
        <v>306</v>
      </c>
      <c r="C19" s="802">
        <f>SUBTOTAL(9,C8:C18)</f>
        <v>101</v>
      </c>
      <c r="D19" s="803">
        <f>SUBTOTAL(9,D8:D18)</f>
        <v>7813</v>
      </c>
    </row>
    <row r="20" spans="1:4" ht="7.5" customHeight="1"/>
    <row r="21" spans="1:4" ht="6" customHeight="1"/>
    <row r="22" spans="1:4">
      <c r="A22" s="394" t="str">
        <f>Criterios!A4</f>
        <v>Fecha Informe: 07 mar. 2024</v>
      </c>
    </row>
    <row r="27" spans="1:4">
      <c r="A27" s="417"/>
    </row>
  </sheetData>
  <sheetProtection algorithmName="SHA-512" hashValue="FgX5FZ2l0Sict1+jeoKdAU+ES6draRPrF4H3y02rjtsXf6aXa2wYHCswlUXSto5/7vIDiVu8zXj5cJTdX1B0YA==" saltValue="6e8IU/aPJQN03h4Fef6k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HUELVA</v>
      </c>
    </row>
    <row r="4" spans="1:11" ht="10.5" customHeight="1" thickBot="1">
      <c r="B4" s="394" t="str">
        <f>Criterios!A11 &amp;"  "&amp;Criterios!B11</f>
        <v>Resumenes por Partidos Judiciales  AYAMONTE</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2.0833333333333332E-2</v>
      </c>
      <c r="C10" s="459">
        <f>IF(ISNUMBER((Datos!J10-Datos!T10)/Datos!T10),(Datos!J10-Datos!T10)/Datos!T10," - ")</f>
        <v>0.41176470588235292</v>
      </c>
      <c r="D10" s="459">
        <f>IF(ISNUMBER((Datos!K10-Datos!U10)/Datos!U10),(Datos!K10-Datos!U10)/Datos!U10," - ")</f>
        <v>0.21428571428571427</v>
      </c>
      <c r="E10" s="459">
        <f>IF(ISNUMBER((Datos!L10-Datos!V10)/Datos!V10),(Datos!L10-Datos!V10)/Datos!V10," - ")</f>
        <v>6.0606060606060608E-2</v>
      </c>
      <c r="F10" s="459">
        <f>IF(ISNUMBER((Datos!M10-Datos!W10)/Datos!W10),(Datos!M10-Datos!W10)/Datos!W10," - ")</f>
        <v>-0.375</v>
      </c>
      <c r="G10" s="460">
        <f>IF(ISNUMBER((Datos!N10-Datos!X10)/Datos!X10),(Datos!N10-Datos!X10)/Datos!X10," - ")</f>
        <v>1.6666666666666667</v>
      </c>
      <c r="H10" s="458">
        <f>IF(ISNUMBER(((NºAsuntos!G10/NºAsuntos!E10)-Datos!BD10)/Datos!BD10),((NºAsuntos!G10/NºAsuntos!E10)-Datos!BD10)/Datos!BD10," - ")</f>
        <v>-0.1398809523809523</v>
      </c>
      <c r="I10" s="459">
        <f>IF(ISNUMBER(((NºAsuntos!I10/NºAsuntos!G10)-Datos!BE10)/Datos!BE10),((NºAsuntos!I10/NºAsuntos!G10)-Datos!BE10)/Datos!BE10," - ")</f>
        <v>-0.12655971479500885</v>
      </c>
      <c r="J10" s="464">
        <f>IF(ISNUMBER((('Resol  Asuntos'!D10/NºAsuntos!G10)-Datos!BF10)/Datos!BF10),(('Resol  Asuntos'!D10/NºAsuntos!G10)-Datos!BF10)/Datos!BF10," - ")</f>
        <v>-0.48529411764705876</v>
      </c>
      <c r="K10" s="465">
        <f>IF(ISNUMBER((((NºAsuntos!C10+NºAsuntos!E10)/NºAsuntos!G10)-Datos!BG10)/Datos!BG10),(((NºAsuntos!C10+NºAsuntos!E10)/NºAsuntos!G10)-Datos!BG10)/Datos!BG10," - ")</f>
        <v>-0.11087975013014049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0.20105481860316446</v>
      </c>
      <c r="C12" s="459">
        <f>IF(ISNUMBER(
   IF(J_V="SI",(Datos!J12-Datos!T12)/Datos!T12,(Datos!J12+Datos!Z12-(Datos!T12+Datos!AH12))/(Datos!T12+Datos!AH12))
     ),IF(J_V="SI",(Datos!J12-Datos!T12)/Datos!T12,(Datos!J12+Datos!Z12-(Datos!T12+Datos!AH12))/(Datos!T12+Datos!AH12))," - ")</f>
        <v>0.24688995215311005</v>
      </c>
      <c r="D12" s="459">
        <f>IF(ISNUMBER(
   IF(J_V="SI",(Datos!K12-Datos!U12)/Datos!U12,(Datos!K12+Datos!AA12-(Datos!U12+Datos!AI12))/(Datos!U12+Datos!AI12))
     ),IF(J_V="SI",(Datos!K12-Datos!U12)/Datos!U12,(Datos!K12+Datos!AA12-(Datos!U12+Datos!AI12))/(Datos!U12+Datos!AI12))," - ")</f>
        <v>2.5930101465614429E-2</v>
      </c>
      <c r="E12" s="459">
        <f>IF(ISNUMBER(
   IF(J_V="SI",(Datos!L12-Datos!V12)/Datos!V12,(Datos!L12+Datos!AB12-(Datos!V12+Datos!AJ12))/(Datos!V12+Datos!AJ12))
     ),IF(J_V="SI",(Datos!L12-Datos!V12)/Datos!V12,(Datos!L12+Datos!AB12-(Datos!V12+Datos!AJ12))/(Datos!V12+Datos!AJ12))," - ")</f>
        <v>0.23273577552611069</v>
      </c>
      <c r="F12" s="459">
        <f>IF(ISNUMBER((Datos!M12-Datos!W12)/Datos!W12),(Datos!M12-Datos!W12)/Datos!W12," - ")</f>
        <v>-0.23270440251572327</v>
      </c>
      <c r="G12" s="460">
        <f>IF(ISNUMBER((Datos!N12-Datos!X12)/Datos!X12),(Datos!N12-Datos!X12)/Datos!X12," - ")</f>
        <v>0.15686274509803921</v>
      </c>
      <c r="H12" s="458">
        <f>IF(ISNUMBER(((NºAsuntos!G12/NºAsuntos!E12)-Datos!BD12)/Datos!BD12),((NºAsuntos!G12/NºAsuntos!E12)-Datos!BD12)/Datos!BD12," - ")</f>
        <v>-0.17720878278467608</v>
      </c>
      <c r="I12" s="459">
        <f>IF(ISNUMBER(((NºAsuntos!I12/NºAsuntos!G12)-Datos!BE12)/Datos!BE12),((NºAsuntos!I12/NºAsuntos!G12)-Datos!BE12)/Datos!BE12," - ")</f>
        <v>0.20157871746336278</v>
      </c>
      <c r="J12" s="464">
        <f>IF(ISNUMBER((('Resol  Asuntos'!D12/NºAsuntos!G12)-Datos!BF12)/Datos!BF12),(('Resol  Asuntos'!D12/NºAsuntos!G12)-Datos!BF12)/Datos!BF12," - ")</f>
        <v>-0.53366084895496657</v>
      </c>
      <c r="K12" s="465">
        <f>IF(ISNUMBER((((NºAsuntos!C12+NºAsuntos!E12)/NºAsuntos!G12)-Datos!BG12)/Datos!BG12),(((NºAsuntos!C12+NºAsuntos!E12)/NºAsuntos!G12)-Datos!BG12)/Datos!BG12," - ")</f>
        <v>0.17709223124177914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0.19833149693058397</v>
      </c>
      <c r="C13" s="858">
        <f>IF(ISNUMBER(
   IF(J_V="SI",(Datos!J13-Datos!T13)/Datos!T13,(Datos!J13+Datos!Z13-(Datos!T13+Datos!AH13))/(Datos!T13+Datos!AH13))
     ),IF(J_V="SI",(Datos!J13-Datos!T13)/Datos!T13,(Datos!J13+Datos!Z13-(Datos!T13+Datos!AH13))/(Datos!T13+Datos!AH13))," - ")</f>
        <v>0.2495291902071563</v>
      </c>
      <c r="D13" s="858">
        <f>IF(ISNUMBER(
   IF(J_V="SI",(Datos!K13-Datos!U13)/Datos!U13,(Datos!K13+Datos!AA13-(Datos!U13+Datos!AI13))/(Datos!U13+Datos!AI13))
     ),IF(J_V="SI",(Datos!K13-Datos!U13)/Datos!U13,(Datos!K13+Datos!AA13-(Datos!U13+Datos!AI13))/(Datos!U13+Datos!AI13))," - ")</f>
        <v>2.8856825749167592E-2</v>
      </c>
      <c r="E13" s="858">
        <f>IF(ISNUMBER(
   IF(J_V="SI",(Datos!L13-Datos!V13)/Datos!V13,(Datos!L13+Datos!AB13-(Datos!V13+Datos!AJ13))/(Datos!V13+Datos!AJ13))
     ),IF(J_V="SI",(Datos!L13-Datos!V13)/Datos!V13,(Datos!L13+Datos!AB13-(Datos!V13+Datos!AJ13))/(Datos!V13+Datos!AJ13))," - ")</f>
        <v>0.2301197420939515</v>
      </c>
      <c r="F13" s="859">
        <f>IF(ISNUMBER((Datos!M13-Datos!W13)/Datos!W13),(Datos!M13-Datos!W13)/Datos!W13," - ")</f>
        <v>-0.23952095808383234</v>
      </c>
      <c r="G13" s="860">
        <f>IF(ISNUMBER((Datos!N13-Datos!X13)/Datos!X13),(Datos!N13-Datos!X13)/Datos!X13," - ")</f>
        <v>0.1744186046511628</v>
      </c>
      <c r="H13" s="860">
        <f>IF(ISNUMBER(((NºAsuntos!G13/NºAsuntos!E13)-Datos!BD13)/Datos!BD13),((NºAsuntos!G13/NºAsuntos!E13)-Datos!BD13)/Datos!BD13," - ")</f>
        <v>-0.17660440923465262</v>
      </c>
      <c r="I13" s="860">
        <f>IF(ISNUMBER(((NºAsuntos!I13/NºAsuntos!G13)-Datos!BE13)/Datos!BE13),((NºAsuntos!I13/NºAsuntos!G13)-Datos!BE13)/Datos!BE13," - ")</f>
        <v>0.19561800175474686</v>
      </c>
      <c r="J13" s="860">
        <f>IF(ISNUMBER((('Resol  Asuntos'!D13/NºAsuntos!G13)-Datos!BF13)/Datos!BF13),(('Resol  Asuntos'!D13/NºAsuntos!G13)-Datos!BF13)/Datos!BF13," - ")</f>
        <v>-0.53065409903979066</v>
      </c>
      <c r="K13" s="860">
        <f>IF(ISNUMBER((((NºAsuntos!C13+NºAsuntos!E13)/NºAsuntos!G13)-Datos!BG13)/Datos!BG13),(((NºAsuntos!C13+NºAsuntos!E13)/NºAsuntos!G13)-Datos!BG13)/Datos!BG13," - ")</f>
        <v>0.17184836998387337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8.9792060491493381E-2</v>
      </c>
      <c r="C16" s="459">
        <f>IF(ISNUMBER(
   IF(D_I="SI",(Datos!J16-Datos!T16)/Datos!T16,(Datos!J16+Datos!AD16-(Datos!T16+Datos!AL16))/(Datos!T16+Datos!AL16))
     ),IF(D_I="SI",(Datos!J16-Datos!T16)/Datos!T16,(Datos!J16+Datos!AD16-(Datos!T16+Datos!AL16))/(Datos!T16+Datos!AL16))," - ")</f>
        <v>-7.3945409429280393E-2</v>
      </c>
      <c r="D16" s="459">
        <f>IF(ISNUMBER(
   IF(D_I="SI",(Datos!K16-Datos!U16)/Datos!U16,(Datos!K16+Datos!AE16-(Datos!U16+Datos!AM16))/(Datos!U16+Datos!AM16))
     ),IF(D_I="SI",(Datos!K16-Datos!U16)/Datos!U16,(Datos!K16+Datos!AE16-(Datos!U16+Datos!AM16))/(Datos!U16+Datos!AM16))," - ")</f>
        <v>-0.28314238952536824</v>
      </c>
      <c r="E16" s="459">
        <f>IF(ISNUMBER(
   IF(D_I="SI",(Datos!L16-Datos!V16)/Datos!V16,(Datos!L16+Datos!AF16-(Datos!V16+Datos!AN16))/(Datos!V16+Datos!AN16))
     ),IF(D_I="SI",(Datos!L16-Datos!V16)/Datos!V16,(Datos!L16+Datos!AF16-(Datos!V16+Datos!AN16))/(Datos!V16+Datos!AN16))," - ")</f>
        <v>0.21445330830595966</v>
      </c>
      <c r="F16" s="459">
        <f>IF(ISNUMBER((Datos!M16-Datos!W16)/Datos!W16),(Datos!M16-Datos!W16)/Datos!W16," - ")</f>
        <v>0.13574660633484162</v>
      </c>
      <c r="G16" s="460">
        <f>IF(ISNUMBER((Datos!N16-Datos!X16)/Datos!X16),(Datos!N16-Datos!X16)/Datos!X16," - ")</f>
        <v>-0.36117740652346858</v>
      </c>
      <c r="H16" s="458">
        <f>IF(ISNUMBER(((NºAsuntos!G16/NºAsuntos!E16)-Datos!BD16)/Datos!BD16),((NºAsuntos!G16/NºAsuntos!E16)-Datos!BD16)/Datos!BD16," - ")</f>
        <v>-0.2259013477457755</v>
      </c>
      <c r="I16" s="459">
        <f>IF(ISNUMBER(((NºAsuntos!I16/NºAsuntos!G16)-Datos!BE16)/Datos!BE16),((NºAsuntos!I16/NºAsuntos!G16)-Datos!BE16)/Datos!BE16," - ")</f>
        <v>0.69413463784233165</v>
      </c>
      <c r="J16" s="464">
        <f>IF(ISNUMBER((('Resol  Asuntos'!D16/NºAsuntos!G16)-Datos!BF16)/Datos!BF16),(('Resol  Asuntos'!D16/NºAsuntos!G16)-Datos!BF16)/Datos!BF16," - ")</f>
        <v>0.58434058554928825</v>
      </c>
      <c r="K16" s="465">
        <f>IF(ISNUMBER((((NºAsuntos!C16+NºAsuntos!E16)/NºAsuntos!G16)-Datos!BG16)/Datos!BG16),(((NºAsuntos!C16+NºAsuntos!E16)/NºAsuntos!G16)-Datos!BG16)/Datos!BG16," - ")</f>
        <v>0.44656028500986406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-0.41421143847487002</v>
      </c>
      <c r="C17" s="459">
        <f>IF(ISNUMBER(
   IF(D_I="SI",(Datos!J17-Datos!T17)/Datos!T17,(Datos!J17+Datos!AD17-(Datos!T17+Datos!AL17))/(Datos!T17+Datos!AL17))
     ),IF(D_I="SI",(Datos!J17-Datos!T17)/Datos!T17,(Datos!J17+Datos!AD17-(Datos!T17+Datos!AL17))/(Datos!T17+Datos!AL17))," - ")</f>
        <v>8.4745762711864406E-3</v>
      </c>
      <c r="D17" s="459">
        <f>IF(ISNUMBER(
   IF(D_I="SI",(Datos!K17-Datos!U17)/Datos!U17,(Datos!K17+Datos!AE17-(Datos!U17+Datos!AM17))/(Datos!U17+Datos!AM17))
     ),IF(D_I="SI",(Datos!K17-Datos!U17)/Datos!U17,(Datos!K17+Datos!AE17-(Datos!U17+Datos!AM17))/(Datos!U17+Datos!AM17))," - ")</f>
        <v>-2.8985507246376812E-2</v>
      </c>
      <c r="E17" s="459">
        <f>IF(ISNUMBER(
   IF(D_I="SI",(Datos!L17-Datos!V17)/Datos!V17,(Datos!L17+Datos!AF17-(Datos!V17+Datos!AN17))/(Datos!V17+Datos!AN17))
     ),IF(D_I="SI",(Datos!L17-Datos!V17)/Datos!V17,(Datos!L17+Datos!AF17-(Datos!V17+Datos!AN17))/(Datos!V17+Datos!AN17))," - ")</f>
        <v>-0.48504273504273504</v>
      </c>
      <c r="F17" s="459">
        <f>IF(ISNUMBER((Datos!M17-Datos!W17)/Datos!W17),(Datos!M17-Datos!W17)/Datos!W17," - ")</f>
        <v>0</v>
      </c>
      <c r="G17" s="460">
        <f>IF(ISNUMBER((Datos!N17-Datos!X17)/Datos!X17),(Datos!N17-Datos!X17)/Datos!X17," - ")</f>
        <v>-0.34468085106382979</v>
      </c>
      <c r="H17" s="458">
        <f>IF(ISNUMBER(((NºAsuntos!G17/NºAsuntos!E17)-Datos!BD17)/Datos!BD17),((NºAsuntos!G17/NºAsuntos!E17)-Datos!BD17)/Datos!BD17," - ")</f>
        <v>-3.7145292899768596E-2</v>
      </c>
      <c r="I17" s="459">
        <f>IF(ISNUMBER(((NºAsuntos!I17/NºAsuntos!G17)-Datos!BE17)/Datos!BE17),((NºAsuntos!I17/NºAsuntos!G17)-Datos!BE17)/Datos!BE17," - ")</f>
        <v>-0.46967087638729427</v>
      </c>
      <c r="J17" s="464">
        <f>IF(ISNUMBER((('Resol  Asuntos'!D17/NºAsuntos!G17)-Datos!BF17)/Datos!BF17),(('Resol  Asuntos'!D17/NºAsuntos!G17)-Datos!BF17)/Datos!BF17," - ")</f>
        <v>2.9850746268656775E-2</v>
      </c>
      <c r="K17" s="465">
        <f>IF(ISNUMBER((((NºAsuntos!C17+NºAsuntos!E17)/NºAsuntos!G17)-Datos!BG17)/Datos!BG17),(((NºAsuntos!C17+NºAsuntos!E17)/NºAsuntos!G17)-Datos!BG17)/Datos!BG17," - ")</f>
        <v>-0.27036404692405136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2.9320024953212728E-2</v>
      </c>
      <c r="C18" s="858">
        <f>IF(ISNUMBER(
   IF(Criterios!B14="SI",(Datos!J18-Datos!T18)/Datos!T18,(Datos!J18+Datos!AD18-(Datos!T18+Datos!AL18))/(Datos!T18+Datos!AL18))
     ),IF(Criterios!B14="SI",(Datos!J18-Datos!T18)/Datos!T18,(Datos!J18+Datos!AD18-(Datos!T18+Datos!AL18))/(Datos!T18+Datos!AL18))," - ")</f>
        <v>-6.530430919591293E-2</v>
      </c>
      <c r="D18" s="858">
        <f>IF(ISNUMBER(
   IF(Criterios!B14="SI",(Datos!K18-Datos!U18)/Datos!U18,(Datos!K18+Datos!AE18-(Datos!U18+Datos!AM18))/(Datos!U18+Datos!AM18))
     ),IF(Criterios!B14="SI",(Datos!K18-Datos!U18)/Datos!U18,(Datos!K18+Datos!AE18-(Datos!U18+Datos!AM18))/(Datos!U18+Datos!AM18))," - ")</f>
        <v>-0.24288337924701561</v>
      </c>
      <c r="E18" s="858">
        <f>IF(ISNUMBER(
   IF(Criterios!B14="SI",(Datos!L18-Datos!V18)/Datos!V18,(Datos!L18+Datos!AF18-(Datos!V18+Datos!AN18))/(Datos!V18+Datos!AN18))
     ),IF(Criterios!B14="SI",(Datos!L18-Datos!V18)/Datos!V18,(Datos!L18+Datos!AF18-(Datos!V18+Datos!AN18))/(Datos!V18+Datos!AN18))," - ")</f>
        <v>0.14524312896405919</v>
      </c>
      <c r="F18" s="859">
        <f>IF(ISNUMBER((Datos!M18-Datos!W18)/Datos!W18),(Datos!M18-Datos!W18)/Datos!W18," - ")</f>
        <v>0.11627906976744186</v>
      </c>
      <c r="G18" s="860">
        <f>IF(ISNUMBER((Datos!N18-Datos!X18)/Datos!X18),(Datos!N18-Datos!X18)/Datos!X18," - ")</f>
        <v>-0.35857908847184988</v>
      </c>
      <c r="H18" s="860">
        <f>IF(ISNUMBER(((NºAsuntos!G18/NºAsuntos!E18)-Datos!BD18)/Datos!BD18),((NºAsuntos!G18/NºAsuntos!E18)-Datos!BD18)/Datos!BD18," - ")</f>
        <v>-0.18998597275904566</v>
      </c>
      <c r="I18" s="860">
        <f>IF(ISNUMBER(((NºAsuntos!I18/NºAsuntos!G18)-Datos!BE18)/Datos!BE18),((NºAsuntos!I18/NºAsuntos!G18)-Datos!BE18)/Datos!BE18," - ")</f>
        <v>0.51263768034185619</v>
      </c>
      <c r="J18" s="860">
        <f>IF(ISNUMBER((('Resol  Asuntos'!D18/NºAsuntos!G18)-Datos!BF18)/Datos!BF18),(('Resol  Asuntos'!D18/NºAsuntos!G18)-Datos!BF18)/Datos!BF18," - ")</f>
        <v>0.47438193690326752</v>
      </c>
      <c r="K18" s="860">
        <f>IF(ISNUMBER((((NºAsuntos!C18+NºAsuntos!E18)/NºAsuntos!G18)-Datos!BG18)/Datos!BG18),(((NºAsuntos!C18+NºAsuntos!E18)/NºAsuntos!G18)-Datos!BG18)/Datos!BG18," - ")</f>
        <v>0.31967799181236117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0.12551514065579644</v>
      </c>
      <c r="C19" s="805">
        <f>IF(ISNUMBER(
   IF(J_V="SI",(Datos!J19-Datos!T19)/Datos!T19,(Datos!J19+Datos!Z19-(Datos!T19+Datos!AH19))/(Datos!T19+Datos!AH19))
     ),IF(J_V="SI",(Datos!J19-Datos!T19)/Datos!T19,(Datos!J19+Datos!Z19-(Datos!T19+Datos!AH19))/(Datos!T19+Datos!AH19))," - ")</f>
        <v>3.5617265318442497E-2</v>
      </c>
      <c r="D19" s="805">
        <f>IF(ISNUMBER(
   IF(J_V="SI",(Datos!K19-Datos!U19)/Datos!U19,(Datos!K19+Datos!AA19-(Datos!U19+Datos!AI19))/(Datos!U19+Datos!AI19))
     ),IF(J_V="SI",(Datos!K19-Datos!U19)/Datos!U19,(Datos!K19+Datos!AA19-(Datos!U19+Datos!AI19))/(Datos!U19+Datos!AI19))," - ")</f>
        <v>-0.16336472880805455</v>
      </c>
      <c r="E19" s="805">
        <f>IF(ISNUMBER(
   IF(J_V="SI",(Datos!L19-Datos!V19)/Datos!V19,(Datos!L19+Datos!AB19-(Datos!V19+Datos!AJ19))/(Datos!V19+Datos!AJ19))
     ),IF(J_V="SI",(Datos!L19-Datos!V19)/Datos!V19,(Datos!L19+Datos!AB19-(Datos!V19+Datos!AJ19))/(Datos!V19+Datos!AJ19))," - ")</f>
        <v>0.1944147990039132</v>
      </c>
      <c r="F19" s="806">
        <f>IF(ISNUMBER((Datos!M19-Datos!W19)/Datos!W19),(Datos!M19-Datos!W19)/Datos!W19," - ")</f>
        <v>-2.3529411764705882E-2</v>
      </c>
      <c r="G19" s="807">
        <f>IF(ISNUMBER((Datos!N19-Datos!X19)/Datos!X19),(Datos!N19-Datos!X19)/Datos!X19," - ")</f>
        <v>-0.28000000000000003</v>
      </c>
      <c r="H19" s="808">
        <f>IF(ISNUMBER((Tasas!B19-Datos!BD19)/Datos!BD19),(Tasas!B19-Datos!BD19)/Datos!BD19," - ")</f>
        <v>-0.19213854460538751</v>
      </c>
      <c r="I19" s="809">
        <f>IF(ISNUMBER((Tasas!C19-Datos!BE19)/Datos!BE19),(Tasas!C19-Datos!BE19)/Datos!BE19," - ")</f>
        <v>0.42764098064171135</v>
      </c>
      <c r="J19" s="810">
        <f>IF(ISNUMBER((Tasas!D19-Datos!BF19)/Datos!BF19),(Tasas!D19-Datos!BF19)/Datos!BF19," - ")</f>
        <v>-4.7918330730439489E-2</v>
      </c>
      <c r="K19" s="810">
        <f>IF(ISNUMBER((Tasas!E19-Datos!BG19)/Datos!BG19),(Tasas!E19-Datos!BG19)/Datos!BG19," - ")</f>
        <v>0.32069443997468328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8hMkiezMvjE8tQX33meR5nInznQsss0WFhjHJDNq0Z8eyjcGVwB+ntBBM/4fMJ+JsEfBRneZo3egbcp300yog==" saltValue="/K6HzuO+y5OD39l4W9Jn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HUELVA</v>
      </c>
    </row>
    <row r="4" spans="1:7" ht="11.25" customHeight="1" thickBot="1">
      <c r="B4" s="394" t="str">
        <f>Criterios!A11 &amp;"  "&amp;Criterios!B11</f>
        <v>Resumenes por Partidos Judiciales  AYAMONTE</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0.70833333333333337</v>
      </c>
      <c r="C10" s="446">
        <f>IF(ISNUMBER(NºAsuntos!I10/NºAsuntos!G10),NºAsuntos!I10/NºAsuntos!G10," - ")</f>
        <v>6.1764705882352944</v>
      </c>
      <c r="D10" s="447">
        <f>IF(ISNUMBER('Resol  Asuntos'!D10/NºAsuntos!G10),'Resol  Asuntos'!D10/NºAsuntos!G10," - ")</f>
        <v>0.29411764705882354</v>
      </c>
      <c r="E10" s="448">
        <f>IF(ISNUMBER((NºAsuntos!C10+NºAsuntos!E10)/NºAsuntos!G10),(NºAsuntos!C10+NºAsuntos!E10)/NºAsuntos!G10," - ")</f>
        <v>7.1764705882352944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0.69838833461243288</v>
      </c>
      <c r="C12" s="446">
        <f>IF(ISNUMBER(NºAsuntos!I12/NºAsuntos!G12),NºAsuntos!I12/NºAsuntos!G12," - ")</f>
        <v>8.6901098901098894</v>
      </c>
      <c r="D12" s="447">
        <f>IF(ISNUMBER('Resol  Asuntos'!D12/NºAsuntos!G12),'Resol  Asuntos'!D12/NºAsuntos!G12," - ")</f>
        <v>0.13406593406593406</v>
      </c>
      <c r="E12" s="448">
        <f>IF(ISNUMBER((NºAsuntos!C12+NºAsuntos!E12)/NºAsuntos!G12),(NºAsuntos!C12+NºAsuntos!E12)/NºAsuntos!G12," - ")</f>
        <v>9.6901098901098894</v>
      </c>
      <c r="G12" s="466"/>
    </row>
    <row r="13" spans="1:7" ht="14.25" thickTop="1" thickBot="1">
      <c r="A13" s="851" t="str">
        <f>Datos!A13</f>
        <v>TOTAL</v>
      </c>
      <c r="B13" s="861">
        <f>IF(ISNUMBER(NºAsuntos!G13/NºAsuntos!E13),NºAsuntos!G13/NºAsuntos!E13," - ")</f>
        <v>0.69856819894498867</v>
      </c>
      <c r="C13" s="862">
        <f>IF(ISNUMBER(NºAsuntos!I13/NºAsuntos!G13),NºAsuntos!I13/NºAsuntos!G13," - ")</f>
        <v>8.6440129449838192</v>
      </c>
      <c r="D13" s="863">
        <f>IF(ISNUMBER('Resol  Asuntos'!D13/NºAsuntos!G13),'Resol  Asuntos'!D13/NºAsuntos!G13," - ")</f>
        <v>0.13700107874865156</v>
      </c>
      <c r="E13" s="864">
        <f>IF(ISNUMBER((NºAsuntos!C13+NºAsuntos!E13)/NºAsuntos!G13),(NºAsuntos!C13+NºAsuntos!E13)/NºAsuntos!G13," - ")</f>
        <v>9.6440129449838192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0.70418006430868163</v>
      </c>
      <c r="C16" s="446">
        <f>IF(ISNUMBER(NºAsuntos!I16/NºAsuntos!G16),NºAsuntos!I16/NºAsuntos!G16," - ")</f>
        <v>3.939117199391172</v>
      </c>
      <c r="D16" s="447">
        <f>IF(ISNUMBER('Resol  Asuntos'!D16/NºAsuntos!G16),'Resol  Asuntos'!D16/NºAsuntos!G16," - ")</f>
        <v>0.19101978691019786</v>
      </c>
      <c r="E16" s="448">
        <f>IF(ISNUMBER((NºAsuntos!C16+NºAsuntos!E16)/NºAsuntos!G16),(NºAsuntos!C16+NºAsuntos!E16)/NºAsuntos!G16," - ")</f>
        <v>4.9299847792998479</v>
      </c>
      <c r="G16" s="466"/>
    </row>
    <row r="17" spans="1:7" ht="13.5" thickBot="1">
      <c r="A17" s="405" t="str">
        <f>Datos!A17</f>
        <v>Jdos. Violencia contra la mujer</v>
      </c>
      <c r="B17" s="445">
        <f>IF(ISNUMBER(NºAsuntos!G17/NºAsuntos!E17),NºAsuntos!G17/NºAsuntos!E17," - ")</f>
        <v>1.4075630252100841</v>
      </c>
      <c r="C17" s="446">
        <f>IF(ISNUMBER(NºAsuntos!I17/NºAsuntos!G17),NºAsuntos!I17/NºAsuntos!G17," - ")</f>
        <v>0.71940298507462686</v>
      </c>
      <c r="D17" s="447">
        <f>IF(ISNUMBER('Resol  Asuntos'!D17/NºAsuntos!G17),'Resol  Asuntos'!D17/NºAsuntos!G17," - ")</f>
        <v>0.11044776119402985</v>
      </c>
      <c r="E17" s="448">
        <f>IF(ISNUMBER((NºAsuntos!C17+NºAsuntos!E17)/NºAsuntos!G17),(NºAsuntos!C17+NºAsuntos!E17)/NºAsuntos!G17," - ")</f>
        <v>1.7194029850746269</v>
      </c>
      <c r="G17" s="466"/>
    </row>
    <row r="18" spans="1:7" ht="14.25" thickTop="1" thickBot="1">
      <c r="A18" s="851" t="str">
        <f>Datos!A18</f>
        <v>TOTAL</v>
      </c>
      <c r="B18" s="861">
        <f>IF(ISNUMBER(NºAsuntos!G18/NºAsuntos!E18),NºAsuntos!G18/NºAsuntos!E18," - ")</f>
        <v>0.78374524714828897</v>
      </c>
      <c r="C18" s="862">
        <f>IF(ISNUMBER(NºAsuntos!I18/NºAsuntos!G18),NºAsuntos!I18/NºAsuntos!G18," - ")</f>
        <v>3.2850212249848392</v>
      </c>
      <c r="D18" s="865">
        <f>IF(ISNUMBER('Resol  Asuntos'!D18/NºAsuntos!G18),'Resol  Asuntos'!D18/NºAsuntos!G18," - ")</f>
        <v>0.17465130382049726</v>
      </c>
      <c r="E18" s="864">
        <f>IF(ISNUMBER((NºAsuntos!C18+NºAsuntos!E18)/NºAsuntos!G18),(NºAsuntos!C18+NºAsuntos!E18)/NºAsuntos!G18," - ")</f>
        <v>4.2777440873256518</v>
      </c>
      <c r="G18" s="466"/>
    </row>
    <row r="19" spans="1:7" ht="15.75" customHeight="1" thickTop="1" thickBot="1">
      <c r="A19" s="796" t="str">
        <f>Datos!A19</f>
        <v>TOTAL JURISDICCIONES</v>
      </c>
      <c r="B19" s="811">
        <f>IF(ISNUMBER(NºAsuntos!G19/NºAsuntos!E19),NºAsuntos!G19/NºAsuntos!E19," - ")</f>
        <v>0.75080151559312158</v>
      </c>
      <c r="C19" s="812">
        <f>IF(ISNUMBER(NºAsuntos!I19/NºAsuntos!G19),NºAsuntos!I19/NºAsuntos!G19," - ")</f>
        <v>5.2135093167701863</v>
      </c>
      <c r="D19" s="813">
        <f>IF(ISNUMBER('Resol  Asuntos'!D19/NºAsuntos!G19),'Resol  Asuntos'!D19/NºAsuntos!G19," - ")</f>
        <v>0.1611024844720497</v>
      </c>
      <c r="E19" s="814">
        <f>IF(ISNUMBER((NºAsuntos!C19+NºAsuntos!E19)/NºAsuntos!G19),(NºAsuntos!C19+NºAsuntos!E19)/NºAsuntos!G19," - ")</f>
        <v>6.2088509316770191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TXLP8SubJoSexZv49IMWepXDVIPYQ4bnmKYqhCPKVdZO7x8nU/7os+WJhuzaKk2hLhmU6eQr48aUg3inw1QZw==" saltValue="j4Al+KiixRWQrpcBHU4C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HUELVA</v>
      </c>
      <c r="N2" s="265" t="str">
        <f>Criterios!A11 &amp;"  "&amp;Criterios!B11</f>
        <v>Resumenes por Partidos Judiciales  AYAMONTE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98</v>
      </c>
      <c r="G10" s="336">
        <f>IF(ISNUMBER(Datos!I10),Datos!I10," - ")</f>
        <v>98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17</v>
      </c>
      <c r="X10" s="229">
        <f>IF(ISNUMBER(Datos!Q10),Datos!Q10," - ")</f>
        <v>0</v>
      </c>
      <c r="Y10" s="337">
        <f t="shared" ref="Y10:Y12" si="0">SUM(W10:X10)</f>
        <v>17</v>
      </c>
      <c r="Z10" s="338" t="str">
        <f>IF(ISNUMBER(Datos!CC10),Datos!CC10," - ")</f>
        <v xml:space="preserve"> - </v>
      </c>
      <c r="AA10" s="335">
        <f>IF(ISNUMBER(Datos!L10),Datos!L10,"-")</f>
        <v>105</v>
      </c>
      <c r="AB10" s="337">
        <f>IF(ISNUMBER(Datos!R10),Datos!R10," - ")</f>
        <v>82</v>
      </c>
      <c r="AC10" s="337">
        <f t="shared" ref="AC10:AC12" si="1">IF(ISNUMBER(AA10+AB10),AA10+AB10," - ")</f>
        <v>187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0.70833333333333337</v>
      </c>
      <c r="AM10" s="263">
        <f>IF(ISNUMBER(((NºAsuntos!I10/NºAsuntos!G10)*11)/factor_trimestre),((NºAsuntos!I10/NºAsuntos!G10)*11)/factor_trimestre," - ")</f>
        <v>18.52941176470588</v>
      </c>
      <c r="AN10" s="247">
        <f>IF(ISNUMBER('Resol  Asuntos'!D10/NºAsuntos!G10),'Resol  Asuntos'!D10/NºAsuntos!G10," - ")</f>
        <v>0.29411764705882354</v>
      </c>
      <c r="AO10" s="248">
        <f>IF(ISNUMBER((NºAsuntos!C10+NºAsuntos!E10)/NºAsuntos!G10),(NºAsuntos!C10+NºAsuntos!E10)/NºAsuntos!G10," - ")</f>
        <v>7.1764705882352944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249</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240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75</v>
      </c>
      <c r="Y12" s="337">
        <f t="shared" si="0"/>
        <v>75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7410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122</v>
      </c>
      <c r="AJ12" s="232" t="str">
        <f>IF(ISNUMBER(Datos!BW12),Datos!BW12," - ")</f>
        <v xml:space="preserve"> - </v>
      </c>
      <c r="AK12" s="231" t="str">
        <f>IF(ISNUMBER(Datos!BX12),Datos!BX12," - ")</f>
        <v xml:space="preserve"> - </v>
      </c>
      <c r="AL12" s="246">
        <f>IF(ISNUMBER(NºAsuntos!G12/NºAsuntos!E12),NºAsuntos!G12/NºAsuntos!E12," - ")</f>
        <v>0.69838833461243288</v>
      </c>
      <c r="AM12" s="263">
        <f>IF(ISNUMBER(((NºAsuntos!I12/NºAsuntos!G12)*11)/factor_trimestre),((NºAsuntos!I12/NºAsuntos!G12)*11)/factor_trimestre," - ")</f>
        <v>26.07032967032967</v>
      </c>
      <c r="AN12" s="247">
        <f>IF(ISNUMBER('Resol  Asuntos'!D12/NºAsuntos!G12),'Resol  Asuntos'!D12/NºAsuntos!G12," - ")</f>
        <v>0.13406593406593406</v>
      </c>
      <c r="AO12" s="248">
        <f>IF(ISNUMBER((NºAsuntos!C12+NºAsuntos!E12)/NºAsuntos!G12),(NºAsuntos!C12+NºAsuntos!E12)/NºAsuntos!G12," - ")</f>
        <v>9.6901098901098894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98</v>
      </c>
      <c r="G13" s="869">
        <f t="shared" si="3"/>
        <v>98</v>
      </c>
      <c r="H13" s="868">
        <f t="shared" si="3"/>
        <v>0</v>
      </c>
      <c r="I13" s="870">
        <f t="shared" si="3"/>
        <v>0</v>
      </c>
      <c r="J13" s="870">
        <f t="shared" si="3"/>
        <v>0</v>
      </c>
      <c r="K13" s="870">
        <f t="shared" si="3"/>
        <v>0</v>
      </c>
      <c r="L13" s="870">
        <f t="shared" si="3"/>
        <v>243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17</v>
      </c>
      <c r="X13" s="870">
        <f t="shared" si="4"/>
        <v>75</v>
      </c>
      <c r="Y13" s="871">
        <f t="shared" si="4"/>
        <v>92</v>
      </c>
      <c r="Z13" s="871">
        <f t="shared" si="4"/>
        <v>0</v>
      </c>
      <c r="AA13" s="871">
        <f t="shared" si="4"/>
        <v>105</v>
      </c>
      <c r="AB13" s="871">
        <f t="shared" si="4"/>
        <v>7492</v>
      </c>
      <c r="AC13" s="871">
        <f t="shared" si="4"/>
        <v>187</v>
      </c>
      <c r="AD13" s="871">
        <f t="shared" si="4"/>
        <v>0</v>
      </c>
      <c r="AE13" s="875">
        <f t="shared" si="4"/>
        <v>0</v>
      </c>
      <c r="AF13" s="868">
        <f t="shared" si="4"/>
        <v>0</v>
      </c>
      <c r="AG13" s="876">
        <f t="shared" si="4"/>
        <v>0</v>
      </c>
      <c r="AH13" s="873">
        <f t="shared" si="4"/>
        <v>0</v>
      </c>
      <c r="AI13" s="868">
        <f t="shared" si="4"/>
        <v>127</v>
      </c>
      <c r="AJ13" s="870">
        <f t="shared" si="4"/>
        <v>0</v>
      </c>
      <c r="AK13" s="873">
        <f>SUBTOTAL(9,AK9:AK12)</f>
        <v>0</v>
      </c>
      <c r="AL13" s="877">
        <f>IF(ISNUMBER(NºAsuntos!G13/NºAsuntos!E13),NºAsuntos!G13/NºAsuntos!E13," - ")</f>
        <v>0.69856819894498867</v>
      </c>
      <c r="AM13" s="877">
        <f>IF(ISNUMBER(((NºAsuntos!I13/NºAsuntos!G13)*11)/factor_trimestre),((NºAsuntos!I13/NºAsuntos!G13)*11)/factor_trimestre," - ")</f>
        <v>25.932038834951459</v>
      </c>
      <c r="AN13" s="878">
        <f>IF(ISNUMBER('Resol  Asuntos'!D13/NºAsuntos!G13),'Resol  Asuntos'!D13/NºAsuntos!G13," - ")</f>
        <v>0.13700107874865156</v>
      </c>
      <c r="AO13" s="879">
        <f>IF(ISNUMBER((NºAsuntos!C13+NºAsuntos!E13)/NºAsuntos!G13),(NºAsuntos!C13+NºAsuntos!E13)/NºAsuntos!G13," - ")</f>
        <v>9.6440129449838192</v>
      </c>
      <c r="AP13" s="880" t="str">
        <f t="shared" si="2"/>
        <v xml:space="preserve"> - </v>
      </c>
      <c r="AQ13" s="880">
        <f>IF(ISNUMBER((H13-W13+K13)/(F13)),(H13-W13+K13)/(F13)," - ")</f>
        <v>-0.17346938775510204</v>
      </c>
      <c r="AR13" s="881">
        <f>IF(ISNUMBER((Datos!P13-Datos!Q13)/(Datos!R13-Datos!P13+Datos!Q13)),(Datos!P13-Datos!Q13)/(Datos!R13-Datos!P13+Datos!Q13)," - ")</f>
        <v>2.2938285090114693E-2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400</v>
      </c>
      <c r="C16" s="163" t="str">
        <f>Datos!A16</f>
        <v xml:space="preserve">Jdos. 1ª Instª. e Instr.                        </v>
      </c>
      <c r="D16" s="163"/>
      <c r="E16" s="1028">
        <f>IF(ISNUMBER(Datos!AQ16),Datos!AQ16," - ")</f>
        <v>6</v>
      </c>
      <c r="F16" s="228">
        <f>IF(ISNUMBER(AA16+W16-Datos!J16-K16),AA16+W16-Datos!J16-K16," - ")</f>
        <v>4624</v>
      </c>
      <c r="G16" s="336">
        <f>IF(ISNUMBER(IF(D_I="SI",Datos!I16,Datos!I16+Datos!AC16)),IF(D_I="SI",Datos!I16,Datos!I16+Datos!AC16)," - ")</f>
        <v>4612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1314</v>
      </c>
      <c r="X16" s="229">
        <f>IF(ISNUMBER(Datos!Q16),Datos!Q16," - ")</f>
        <v>26</v>
      </c>
      <c r="Y16" s="337">
        <f t="shared" ref="Y16:Y17" si="7">SUM(W16:X16)</f>
        <v>1340</v>
      </c>
      <c r="Z16" s="338" t="str">
        <f>IF(ISNUMBER(Datos!CC16),Datos!CC16," - ")</f>
        <v xml:space="preserve"> - </v>
      </c>
      <c r="AA16" s="335">
        <f>IF(ISNUMBER(IF(D_I="SI",Datos!L16,Datos!L16+Datos!AF16)),IF(D_I="SI",Datos!L16,Datos!L16+Datos!AF16)," - ")</f>
        <v>5176</v>
      </c>
      <c r="AB16" s="337">
        <f>IF(ISNUMBER(Datos!R16),Datos!R16," - ")</f>
        <v>311</v>
      </c>
      <c r="AC16" s="337">
        <f t="shared" si="6"/>
        <v>5487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251</v>
      </c>
      <c r="AJ16" s="234" t="str">
        <f>IF(ISNUMBER(Datos!BW16),Datos!BW16," - ")</f>
        <v xml:space="preserve"> - </v>
      </c>
      <c r="AK16" s="235" t="str">
        <f>IF(ISNUMBER(Datos!BX16),Datos!BX16," - ")</f>
        <v xml:space="preserve"> - </v>
      </c>
      <c r="AL16" s="246">
        <f>IF(ISNUMBER(NºAsuntos!G16/NºAsuntos!E16),NºAsuntos!G16/NºAsuntos!E16," - ")</f>
        <v>0.70418006430868163</v>
      </c>
      <c r="AM16" s="263">
        <f>IF(ISNUMBER(((NºAsuntos!I16/NºAsuntos!G16)*11)/factor_trimestre),((NºAsuntos!I16/NºAsuntos!G16)*11)/factor_trimestre," - ")</f>
        <v>11.817351598173516</v>
      </c>
      <c r="AN16" s="247">
        <f>IF(ISNUMBER('Resol  Asuntos'!D16/NºAsuntos!G16),'Resol  Asuntos'!D16/NºAsuntos!G16," - ")</f>
        <v>0.19101978691019786</v>
      </c>
      <c r="AO16" s="248">
        <f>IF(ISNUMBER((NºAsuntos!C16+NºAsuntos!E16)/NºAsuntos!G16),(NºAsuntos!C16+NºAsuntos!E16)/NºAsuntos!G16," - ")</f>
        <v>4.9299847792998479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338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335</v>
      </c>
      <c r="X17" s="229">
        <f>IF(ISNUMBER(Datos!Q17),Datos!Q17," - ")</f>
        <v>0</v>
      </c>
      <c r="Y17" s="337">
        <f t="shared" si="7"/>
        <v>335</v>
      </c>
      <c r="Z17" s="338" t="str">
        <f>IF(ISNUMBER(Datos!CC17),Datos!CC17," - ")</f>
        <v xml:space="preserve"> - </v>
      </c>
      <c r="AA17" s="335">
        <f>IF(ISNUMBER(Datos!L17),Datos!L17,"-")</f>
        <v>241</v>
      </c>
      <c r="AB17" s="337">
        <f>IF(ISNUMBER(Datos!R17),Datos!R17," - ")</f>
        <v>10</v>
      </c>
      <c r="AC17" s="337">
        <f t="shared" si="6"/>
        <v>251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37</v>
      </c>
      <c r="AJ17" s="234" t="str">
        <f>IF(ISNUMBER(Datos!BW17),Datos!BW17," - ")</f>
        <v xml:space="preserve"> - </v>
      </c>
      <c r="AK17" s="235" t="str">
        <f>IF(ISNUMBER(Datos!BX17),Datos!BX17," - ")</f>
        <v xml:space="preserve"> - </v>
      </c>
      <c r="AL17" s="246">
        <f>IF(ISNUMBER(NºAsuntos!G17/NºAsuntos!E17),NºAsuntos!G17/NºAsuntos!E17," - ")</f>
        <v>1.4075630252100841</v>
      </c>
      <c r="AM17" s="263">
        <f>IF(ISNUMBER(((NºAsuntos!I17/NºAsuntos!G17)*11)/factor_trimestre),((NºAsuntos!I17/NºAsuntos!G17)*11)/factor_trimestre," - ")</f>
        <v>2.1582089552238806</v>
      </c>
      <c r="AN17" s="247">
        <f>IF(ISNUMBER('Resol  Asuntos'!D17/NºAsuntos!G17),'Resol  Asuntos'!D17/NºAsuntos!G17," - ")</f>
        <v>0.11044776119402985</v>
      </c>
      <c r="AO17" s="248">
        <f>IF(ISNUMBER((NºAsuntos!C17+NºAsuntos!E17)/NºAsuntos!G17),(NºAsuntos!C17+NºAsuntos!E17)/NºAsuntos!G17," - ")</f>
        <v>1.7194029850746269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4624</v>
      </c>
      <c r="G18" s="869">
        <f>SUBTOTAL(9,G15:G17)</f>
        <v>4950</v>
      </c>
      <c r="H18" s="868">
        <f t="shared" ref="H18:O18" si="10">SUBTOTAL(9,H14:H17)</f>
        <v>0</v>
      </c>
      <c r="I18" s="870">
        <f t="shared" si="10"/>
        <v>0</v>
      </c>
      <c r="J18" s="870">
        <f t="shared" si="10"/>
        <v>0</v>
      </c>
      <c r="K18" s="870">
        <f t="shared" si="10"/>
        <v>0</v>
      </c>
      <c r="L18" s="870">
        <f t="shared" si="10"/>
        <v>63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1649</v>
      </c>
      <c r="X18" s="870">
        <f t="shared" si="11"/>
        <v>26</v>
      </c>
      <c r="Y18" s="871">
        <f t="shared" si="11"/>
        <v>1675</v>
      </c>
      <c r="Z18" s="871">
        <f t="shared" si="11"/>
        <v>0</v>
      </c>
      <c r="AA18" s="871">
        <f t="shared" si="11"/>
        <v>5417</v>
      </c>
      <c r="AB18" s="871">
        <f t="shared" si="11"/>
        <v>321</v>
      </c>
      <c r="AC18" s="871">
        <f t="shared" si="11"/>
        <v>5738</v>
      </c>
      <c r="AD18" s="871">
        <f t="shared" si="11"/>
        <v>0</v>
      </c>
      <c r="AE18" s="875">
        <f t="shared" si="11"/>
        <v>0</v>
      </c>
      <c r="AF18" s="868">
        <f t="shared" si="11"/>
        <v>0</v>
      </c>
      <c r="AG18" s="876">
        <f t="shared" si="11"/>
        <v>0</v>
      </c>
      <c r="AH18" s="873">
        <f t="shared" si="11"/>
        <v>0</v>
      </c>
      <c r="AI18" s="868">
        <f t="shared" si="11"/>
        <v>288</v>
      </c>
      <c r="AJ18" s="870">
        <f t="shared" si="11"/>
        <v>0</v>
      </c>
      <c r="AK18" s="873">
        <f t="shared" si="11"/>
        <v>0</v>
      </c>
      <c r="AL18" s="877">
        <f>IF(ISNUMBER(NºAsuntos!G18/NºAsuntos!E18),NºAsuntos!G18/NºAsuntos!E18," - ")</f>
        <v>0.78374524714828897</v>
      </c>
      <c r="AM18" s="877">
        <f>IF(ISNUMBER(((NºAsuntos!I18/NºAsuntos!G18)*11)/factor_trimestre),((NºAsuntos!I18/NºAsuntos!G18)*11)/factor_trimestre," - ")</f>
        <v>9.8550636749545166</v>
      </c>
      <c r="AN18" s="878">
        <f>IF(ISNUMBER('Resol  Asuntos'!D18/NºAsuntos!G18),'Resol  Asuntos'!D18/NºAsuntos!G18," - ")</f>
        <v>0.17465130382049726</v>
      </c>
      <c r="AO18" s="879">
        <f>IF(ISNUMBER((NºAsuntos!C18+NºAsuntos!E18)/NºAsuntos!G18),(NºAsuntos!C18+NºAsuntos!E18)/NºAsuntos!G18," - ")</f>
        <v>4.2777440873256518</v>
      </c>
      <c r="AP18" s="880" t="str">
        <f t="shared" si="2"/>
        <v xml:space="preserve"> - </v>
      </c>
      <c r="AQ18" s="880">
        <f>IF(ISNUMBER((H18-W18+K18)/(F18)),(H18-W18+K18)/(F18)," - ")</f>
        <v>-0.35661764705882354</v>
      </c>
      <c r="AR18" s="881">
        <f>IF(ISNUMBER((Datos!P18-Datos!Q18)/(Datos!R18-Datos!P18+Datos!Q18)),(Datos!P18-Datos!Q18)/(Datos!R18-Datos!P18+Datos!Q18)," - ")</f>
        <v>0.13028169014084506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4722</v>
      </c>
      <c r="G19" s="824">
        <f t="shared" si="13"/>
        <v>5048</v>
      </c>
      <c r="H19" s="823">
        <f t="shared" si="13"/>
        <v>0</v>
      </c>
      <c r="I19" s="825">
        <f t="shared" si="13"/>
        <v>0</v>
      </c>
      <c r="J19" s="825">
        <f t="shared" si="13"/>
        <v>0</v>
      </c>
      <c r="K19" s="884">
        <f t="shared" si="13"/>
        <v>0</v>
      </c>
      <c r="L19" s="825">
        <f t="shared" si="13"/>
        <v>306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1666</v>
      </c>
      <c r="X19" s="824">
        <f t="shared" si="14"/>
        <v>101</v>
      </c>
      <c r="Y19" s="831">
        <f t="shared" si="14"/>
        <v>1767</v>
      </c>
      <c r="Z19" s="831">
        <f t="shared" si="14"/>
        <v>0</v>
      </c>
      <c r="AA19" s="831">
        <f t="shared" si="14"/>
        <v>5522</v>
      </c>
      <c r="AB19" s="831">
        <f t="shared" si="14"/>
        <v>7813</v>
      </c>
      <c r="AC19" s="831">
        <f t="shared" si="14"/>
        <v>5925</v>
      </c>
      <c r="AD19" s="831">
        <f t="shared" si="14"/>
        <v>0</v>
      </c>
      <c r="AE19" s="833">
        <f t="shared" si="14"/>
        <v>0</v>
      </c>
      <c r="AF19" s="834">
        <f t="shared" si="14"/>
        <v>0</v>
      </c>
      <c r="AG19" s="835">
        <f t="shared" si="14"/>
        <v>0</v>
      </c>
      <c r="AH19" s="833">
        <f t="shared" si="14"/>
        <v>0</v>
      </c>
      <c r="AI19" s="823">
        <f t="shared" si="14"/>
        <v>415</v>
      </c>
      <c r="AJ19" s="823">
        <f t="shared" si="14"/>
        <v>0</v>
      </c>
      <c r="AK19" s="833">
        <f t="shared" si="14"/>
        <v>0</v>
      </c>
      <c r="AL19" s="887">
        <f>IF(ISNUMBER(NºAsuntos!G19/NºAsuntos!E19),NºAsuntos!G19/NºAsuntos!E19," - ")</f>
        <v>0.75080151559312158</v>
      </c>
      <c r="AM19" s="888">
        <f>IF(ISNUMBER(((NºAsuntos!I19/NºAsuntos!G19)*11)/factor_trimestre),((NºAsuntos!I19/NºAsuntos!G19)*11)/factor_trimestre," - ")</f>
        <v>15.640527950310558</v>
      </c>
      <c r="AN19" s="888">
        <f>IF(ISNUMBER('Resol  Asuntos'!D19/NºAsuntos!G19),'Resol  Asuntos'!D19/NºAsuntos!G19," - ")</f>
        <v>0.1611024844720497</v>
      </c>
      <c r="AO19" s="889">
        <f>IF(ISNUMBER((NºAsuntos!C19+NºAsuntos!E19)/NºAsuntos!G19),(NºAsuntos!C19+NºAsuntos!E19)/NºAsuntos!G19," - ")</f>
        <v>6.2088509316770191</v>
      </c>
      <c r="AP19" s="890" t="str">
        <f t="shared" si="2"/>
        <v xml:space="preserve"> - </v>
      </c>
      <c r="AQ19" s="891">
        <f>IF(OR(ISNUMBER(FIND("01",Criterios!A8,1)),ISNUMBER(FIND("02",Criterios!A8,1)),ISNUMBER(FIND("03",Criterios!A8,1)),ISNUMBER(FIND("04",Criterios!A8,1))),(I19-W19+K19)/(F19-K19),(H19-W19+K19)/(F19-K19))</f>
        <v>-0.35281660313426516</v>
      </c>
      <c r="AR19" s="892">
        <f>IF(ISNUMBER((Datos!P19-Datos!Q19)/(Datos!R19-Datos!P19+Datos!Q19)),(Datos!P19-Datos!Q19)/(Datos!R19-Datos!P19+Datos!Q19)," - ")</f>
        <v>2.6945320715036802E-2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2019.2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3.1622776601683795</v>
      </c>
      <c r="F21" s="255">
        <f>IF(ISNUMBER(STDEV(F8:F18)),STDEV(F8:F18),"-")</f>
        <v>2613.0873183522463</v>
      </c>
      <c r="G21" s="256">
        <f>IF(ISNUMBER(STDEV(G8:G18)),STDEV(G8:G18),"-")</f>
        <v>2525.89849360579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764.55137172069738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112.72562559891458</v>
      </c>
      <c r="AJ21" s="255">
        <f t="shared" si="18"/>
        <v>0</v>
      </c>
      <c r="AK21" s="257">
        <f t="shared" si="18"/>
        <v>0</v>
      </c>
      <c r="AL21" s="252">
        <f t="shared" si="18"/>
        <v>0.28315224788694382</v>
      </c>
      <c r="AM21" s="253">
        <f t="shared" si="18"/>
        <v>9.5169099524138741</v>
      </c>
      <c r="AN21" s="253">
        <f t="shared" si="18"/>
        <v>6.590852978133703E-2</v>
      </c>
      <c r="AO21" s="254">
        <f t="shared" si="18"/>
        <v>3.1739541332643517</v>
      </c>
      <c r="AP21" s="294" t="str">
        <f t="shared" si="18"/>
        <v>-</v>
      </c>
      <c r="AQ21" s="295">
        <f t="shared" si="18"/>
        <v>0.12950537611617352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xjH4XS1nU+m70sN0PEN7qwv45cOg0SxSzO9Ol2s5wVDuc0URspqJD8aPerkmv2TNIjeKhXHc2gDVFPx7e1zbag==" saltValue="xKVmqctKm/L/TFrmyqKK3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HUELVA</v>
      </c>
      <c r="E3" s="266"/>
    </row>
    <row r="4" spans="2:20" ht="17.25" customHeight="1" thickBot="1">
      <c r="D4" s="265" t="str">
        <f>Criterios!A11 &amp;"  "&amp;Criterios!B11</f>
        <v>Resumenes por Partidos Judiciales  AYAMONTE</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2.0833333333333332E-2</v>
      </c>
      <c r="E10" s="351">
        <f>IF(ISNUMBER((Datos!J10-Datos!T10)/Datos!T10),(Datos!J10-Datos!T10)/Datos!T10," - ")</f>
        <v>0.41176470588235292</v>
      </c>
      <c r="F10" s="351">
        <f>IF(ISNUMBER((Datos!K10-Datos!U10)/Datos!U10),(Datos!K10-Datos!U10)/Datos!U10," - ")</f>
        <v>0.21428571428571427</v>
      </c>
      <c r="G10" s="352">
        <f>IF(ISNUMBER((Datos!L10-Datos!V10)/Datos!V10),(Datos!L10-Datos!V10)/Datos!V10," - ")</f>
        <v>6.0606060606060608E-2</v>
      </c>
      <c r="H10" s="233">
        <f>IF(ISNUMBER((Datos!M10-Datos!W10)/Datos!W10),(Datos!M10-Datos!W10)/Datos!W10," - ")</f>
        <v>-0.375</v>
      </c>
      <c r="I10" s="353">
        <f>IF(ISNUMBER((Tasas!C10-Datos!BE10)/Datos!BE10),(Tasas!C10-Datos!BE10)/Datos!BE10," - ")</f>
        <v>-0.12655971479500885</v>
      </c>
      <c r="J10" s="352">
        <f>IF(ISNUMBER((Tasas!D10-Datos!BF10)/Datos!BF10),(Tasas!D10-Datos!BF10)/Datos!BF10," - ")</f>
        <v>-0.48529411764705876</v>
      </c>
      <c r="K10" s="354">
        <f>IF(ISNUMBER((Tasas!E10-Datos!BG10)/Datos!BG10),(Tasas!E10-Datos!BG10)/Datos!BG10," - ")</f>
        <v>-0.11087975013014049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-0.23270440251572327</v>
      </c>
      <c r="I12" s="353">
        <f>IF(ISNUMBER((Tasas!C12-Datos!BE12)/Datos!BE12),(Tasas!C12-Datos!BE12)/Datos!BE12," - ")</f>
        <v>0.20157871746336278</v>
      </c>
      <c r="J12" s="352">
        <f>IF(ISNUMBER((Tasas!D12-Datos!BF12)/Datos!BF12),(Tasas!D12-Datos!BF12)/Datos!BF12," - ")</f>
        <v>-0.53366084895496657</v>
      </c>
      <c r="K12" s="354">
        <f>IF(ISNUMBER((Tasas!E12-Datos!BG12)/Datos!BG12),(Tasas!E12-Datos!BG12)/Datos!BG12," - ")</f>
        <v>0.17709223124177914</v>
      </c>
      <c r="M12" t="e">
        <f>IF(Monitorios="SI",Datos!CE12,0)</f>
        <v>#REF!</v>
      </c>
      <c r="N12" t="e">
        <f>IF(Monitorios="SI",Datos!CF12,0)</f>
        <v>#REF!</v>
      </c>
      <c r="O12" t="e">
        <f>IF(Monitorios="SI",Datos!CG12,0)</f>
        <v>#REF!</v>
      </c>
      <c r="P12" t="e">
        <f>IF(Monitorios="SI",Datos!CH12,0)</f>
        <v>#REF!</v>
      </c>
      <c r="Q12">
        <f>IF(J_V="SI",0,Datos!AG12)</f>
        <v>191</v>
      </c>
      <c r="R12">
        <f>IF(J_V="SI",0,Datos!AH12)</f>
        <v>42</v>
      </c>
      <c r="S12">
        <f>IF(J_V="SI",0,Datos!AI12)</f>
        <v>68</v>
      </c>
      <c r="T12">
        <f>IF(J_V="SI",0,Datos!AJ12)</f>
        <v>165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-0.23952095808383234</v>
      </c>
      <c r="I13" s="360">
        <f>IF(ISNUMBER((Tasas!C13-Datos!BE13)/Datos!BE13),(Tasas!C13-Datos!BE13)/Datos!BE13," - ")</f>
        <v>0.19561800175474686</v>
      </c>
      <c r="J13" s="358">
        <f>IF(ISNUMBER((Tasas!D13-Datos!BF13)/Datos!BF13),(Tasas!D13-Datos!BF13)/Datos!BF13," - ")</f>
        <v>-0.53065409903979066</v>
      </c>
      <c r="K13" s="361">
        <f>IF(ISNUMBER((Tasas!E13-Datos!BG13)/Datos!BG13),(Tasas!E13-Datos!BG13)/Datos!BG13," - ")</f>
        <v>0.17184836998387337</v>
      </c>
      <c r="M13" t="e">
        <f>IF(Monitorios="SI",Datos!CE13,0)</f>
        <v>#REF!</v>
      </c>
      <c r="N13" t="e">
        <f>IF(Monitorios="SI",Datos!CF13,0)</f>
        <v>#REF!</v>
      </c>
      <c r="O13" t="e">
        <f>IF(Monitorios="SI",Datos!CG13,0)</f>
        <v>#REF!</v>
      </c>
      <c r="P13" t="e">
        <f>IF(Monitorios="SI",Datos!CH13,0)</f>
        <v>#REF!</v>
      </c>
      <c r="Q13">
        <f>IF(J_V="SI",0,Datos!AG13)</f>
        <v>191</v>
      </c>
      <c r="R13">
        <f>IF(J_V="SI",0,Datos!AH13)</f>
        <v>42</v>
      </c>
      <c r="S13">
        <f>IF(J_V="SI",0,Datos!AI13)</f>
        <v>68</v>
      </c>
      <c r="T13">
        <f>IF(J_V="SI",0,Datos!AJ13)</f>
        <v>165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8.9792060491493381E-2</v>
      </c>
      <c r="E16" s="351">
        <f>IF(ISNUMBER(
   IF(D_I="SI",(Datos!J16-Datos!T16)/Datos!T16,(Datos!J16+Datos!AD16-(Datos!T16+Datos!AL16))/(Datos!T16+Datos!AL16))
     ),IF(D_I="SI",(Datos!J16-Datos!T16)/Datos!T16,(Datos!J16+Datos!AD16-(Datos!T16+Datos!AL16))/(Datos!T16+Datos!AL16))," - ")</f>
        <v>-7.3945409429280393E-2</v>
      </c>
      <c r="F16" s="351">
        <f>IF(ISNUMBER(
   IF(D_I="SI",(Datos!K16-Datos!U16)/Datos!U16,(Datos!K16+Datos!AE16-(Datos!U16+Datos!AM16))/(Datos!U16+Datos!AM16))
     ),IF(D_I="SI",(Datos!K16-Datos!U16)/Datos!U16,(Datos!K16+Datos!AE16-(Datos!U16+Datos!AM16))/(Datos!U16+Datos!AM16))," - ")</f>
        <v>-0.28314238952536824</v>
      </c>
      <c r="G16" s="352">
        <f>IF(ISNUMBER(
   IF(D_I="SI",(Datos!L16-Datos!V16)/Datos!V16,(Datos!L16+Datos!AF16-(Datos!V16+Datos!AN16))/(Datos!V16+Datos!AN16))
     ),IF(D_I="SI",(Datos!L16-Datos!V16)/Datos!V16,(Datos!L16+Datos!AF16-(Datos!V16+Datos!AN16))/(Datos!V16+Datos!AN16))," - ")</f>
        <v>0.21445330830595966</v>
      </c>
      <c r="H16" s="233">
        <f>IF(ISNUMBER((Datos!M16-Datos!W16)/Datos!W16),(Datos!M16-Datos!W16)/Datos!W16," - ")</f>
        <v>0.13574660633484162</v>
      </c>
      <c r="I16" s="353">
        <f>IF(ISNUMBER((Tasas!C16-Datos!BE16)/Datos!BE16),(Tasas!C16-Datos!BE16)/Datos!BE16," - ")</f>
        <v>0.69413463784233165</v>
      </c>
      <c r="J16" s="352">
        <f>IF(ISNUMBER((Tasas!D16-Datos!BF16)/Datos!BF16),(Tasas!D16-Datos!BF16)/Datos!BF16," - ")</f>
        <v>0.58434058554928825</v>
      </c>
      <c r="K16" s="354">
        <f>IF(ISNUMBER((Tasas!E16-Datos!BG16)/Datos!BG16),(Tasas!E16-Datos!BG16)/Datos!BG16," - ")</f>
        <v>0.44656028500986406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-0.41421143847487002</v>
      </c>
      <c r="E17" s="351">
        <f>IF(ISNUMBER(
   IF(D_I="SI",(Datos!J17-Datos!T17)/Datos!T17,(Datos!J17+Datos!AD17-(Datos!T17+Datos!AL17))/(Datos!T17+Datos!AL17))
     ),IF(D_I="SI",(Datos!J17-Datos!T17)/Datos!T17,(Datos!J17+Datos!AD17-(Datos!T17+Datos!AL17))/(Datos!T17+Datos!AL17))," - ")</f>
        <v>8.4745762711864406E-3</v>
      </c>
      <c r="F17" s="351">
        <f>IF(ISNUMBER(
   IF(D_I="SI",(Datos!K17-Datos!U17)/Datos!U17,(Datos!K17+Datos!AE17-(Datos!U17+Datos!AM17))/(Datos!U17+Datos!AM17))
     ),IF(D_I="SI",(Datos!K17-Datos!U17)/Datos!U17,(Datos!K17+Datos!AE17-(Datos!U17+Datos!AM17))/(Datos!U17+Datos!AM17))," - ")</f>
        <v>-2.8985507246376812E-2</v>
      </c>
      <c r="G17" s="352">
        <f>IF(ISNUMBER(
   IF(D_I="SI",(Datos!L17-Datos!V17)/Datos!V17,(Datos!L17+Datos!AF17-(Datos!V17+Datos!AN17))/(Datos!V17+Datos!AN17))
     ),IF(D_I="SI",(Datos!L17-Datos!V17)/Datos!V17,(Datos!L17+Datos!AF17-(Datos!V17+Datos!AN17))/(Datos!V17+Datos!AN17))," - ")</f>
        <v>-0.48504273504273504</v>
      </c>
      <c r="H17" s="233">
        <f>IF(ISNUMBER((Datos!M17-Datos!W17)/Datos!W17),(Datos!M17-Datos!W17)/Datos!W17," - ")</f>
        <v>0</v>
      </c>
      <c r="I17" s="353">
        <f>IF(ISNUMBER((Tasas!C17-Datos!BE17)/Datos!BE17),(Tasas!C17-Datos!BE17)/Datos!BE17," - ")</f>
        <v>-0.46967087638729427</v>
      </c>
      <c r="J17" s="352">
        <f>IF(ISNUMBER((Tasas!D17-Datos!BF17)/Datos!BF17),(Tasas!D17-Datos!BF17)/Datos!BF17," - ")</f>
        <v>2.9850746268656775E-2</v>
      </c>
      <c r="K17" s="354">
        <f>IF(ISNUMBER((Tasas!E17-Datos!BG17)/Datos!BG17),(Tasas!E17-Datos!BG17)/Datos!BG17," - ")</f>
        <v>-0.27036404692405136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2.9320024953212728E-2</v>
      </c>
      <c r="E18" s="357">
        <f>IF(ISNUMBER(
   IF(D_I="SI",(Datos!J18-Datos!T18)/Datos!T18,(Datos!J18+Datos!AD18-(Datos!T18+Datos!AL18))/(Datos!T18+Datos!AL18))
     ),IF(D_I="SI",(Datos!J18-Datos!T18)/Datos!T18,(Datos!J18+Datos!AD18-(Datos!T18+Datos!AL18))/(Datos!T18+Datos!AL18))," - ")</f>
        <v>-6.530430919591293E-2</v>
      </c>
      <c r="F18" s="357">
        <f>IF(ISNUMBER(
   IF(D_I="SI",(Datos!K18-Datos!U18)/Datos!U18,(Datos!K18+Datos!AE18-(Datos!U18+Datos!AM18))/(Datos!U18+Datos!AM18))
     ),IF(D_I="SI",(Datos!K18-Datos!U18)/Datos!U18,(Datos!K18+Datos!AE18-(Datos!U18+Datos!AM18))/(Datos!U18+Datos!AM18))," - ")</f>
        <v>-0.24288337924701561</v>
      </c>
      <c r="G18" s="358">
        <f>IF(ISNUMBER(
   IF(D_I="SI",(Datos!L18-Datos!V18)/Datos!V18,(Datos!L18+Datos!AF18-(Datos!V18+Datos!AN18))/(Datos!V18+Datos!AN18))
     ),IF(D_I="SI",(Datos!L18-Datos!V18)/Datos!V18,(Datos!L18+Datos!AF18-(Datos!V18+Datos!AN18))/(Datos!V18+Datos!AN18))," - ")</f>
        <v>0.14524312896405919</v>
      </c>
      <c r="H18" s="359">
        <f>IF(ISNUMBER((Datos!M18-Datos!W18)/Datos!W18),(Datos!M18-Datos!W18)/Datos!W18," - ")</f>
        <v>0.11627906976744186</v>
      </c>
      <c r="I18" s="360">
        <f>IF(ISNUMBER((Tasas!C18-Datos!BE18)/Datos!BE18),(Tasas!C18-Datos!BE18)/Datos!BE18," - ")</f>
        <v>0.51263768034185619</v>
      </c>
      <c r="J18" s="358">
        <f>IF(ISNUMBER((Tasas!D18-Datos!BF18)/Datos!BF18),(Tasas!D18-Datos!BF18)/Datos!BF18," - ")</f>
        <v>0.47438193690326752</v>
      </c>
      <c r="K18" s="361">
        <f>IF(ISNUMBER((Tasas!E18-Datos!BG18)/Datos!BG18),(Tasas!E18-Datos!BG18)/Datos!BG18," - ")</f>
        <v>0.31967799181236117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0.12551514065579644</v>
      </c>
      <c r="E19" s="366">
        <f>IF(ISNUMBER(
   IF(J_V="SI",(Datos!J19-Datos!T19)/Datos!T19,(Datos!J19+Datos!Z19-(Datos!T19+Datos!AH19))/(Datos!T19+Datos!AH19))
     ),IF(J_V="SI",(Datos!J19-Datos!T19)/Datos!T19,(Datos!J19+Datos!Z19-(Datos!T19+Datos!AH19))/(Datos!T19+Datos!AH19))," - ")</f>
        <v>3.5617265318442497E-2</v>
      </c>
      <c r="F19" s="366">
        <f>IF(ISNUMBER(
   IF(J_V="SI",(Datos!K19-Datos!U19)/Datos!U19,(Datos!K19+Datos!AA19-(Datos!U19+Datos!AI19))/(Datos!U19+Datos!AI19))
     ),IF(J_V="SI",(Datos!K19-Datos!U19)/Datos!U19,(Datos!K19+Datos!AA19-(Datos!U19+Datos!AI19))/(Datos!U19+Datos!AI19))," - ")</f>
        <v>-0.16336472880805455</v>
      </c>
      <c r="G19" s="367">
        <f>IF(ISNUMBER(
   IF(J_V="SI",(Datos!L19-Datos!V19)/Datos!V19,(Datos!L19+Datos!AB19-(Datos!V19+Datos!AJ19))/(Datos!V19+Datos!AJ19))
     ),IF(J_V="SI",(Datos!L19-Datos!V19)/Datos!V19,(Datos!L19+Datos!AB19-(Datos!V19+Datos!AJ19))/(Datos!V19+Datos!AJ19))," - ")</f>
        <v>0.1944147990039132</v>
      </c>
      <c r="H19" s="368">
        <f>IF(ISNUMBER((Datos!M19-Datos!W19)/Datos!W19),(Datos!M19-Datos!W19)/Datos!W19," - ")</f>
        <v>-2.3529411764705882E-2</v>
      </c>
      <c r="I19" s="365">
        <f>IF(ISNUMBER((Tasas!C19-Datos!BE19)/Datos!BE19),(Tasas!C19-Datos!BE19)/Datos!BE19," - ")</f>
        <v>0.42764098064171135</v>
      </c>
      <c r="J19" s="366">
        <f>IF(ISNUMBER((Tasas!D19-Datos!BF19)/Datos!BF19),(Tasas!D19-Datos!BF19)/Datos!BF19," - ")</f>
        <v>-4.7918330730439489E-2</v>
      </c>
      <c r="K19" s="367">
        <f>IF(ISNUMBER((Tasas!E19-Datos!BG19)/Datos!BG19),(Tasas!E19-Datos!BG19)/Datos!BG19," - ")</f>
        <v>0.32069443997468328</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0.23246645574625618</v>
      </c>
      <c r="E21" s="281">
        <f t="shared" si="1"/>
        <v>0.23066265708866809</v>
      </c>
      <c r="F21" s="281">
        <f t="shared" si="1"/>
        <v>0.22868974509385601</v>
      </c>
      <c r="G21" s="282">
        <f t="shared" si="1"/>
        <v>0.31884035335230337</v>
      </c>
      <c r="H21" s="288">
        <f t="shared" si="1"/>
        <v>0.2121559870023608</v>
      </c>
      <c r="I21" s="280">
        <f t="shared" si="1"/>
        <v>0.42210724535530858</v>
      </c>
      <c r="J21" s="281">
        <f t="shared" si="1"/>
        <v>0.51649890542326982</v>
      </c>
      <c r="K21" s="282">
        <f t="shared" si="1"/>
        <v>0.26762581349169318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2i18lXC49Tr+K9mm8+n6kjciNiblu97HrtoY228T4VKPAE0AdbSjixGANBiak6SZIFanbDCzqeZ5cIkS7fazAg==" saltValue="53k4l+oOgrwERyAJCLgJ0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